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_Winery_Info_&amp;_Checklist" sheetId="1" state="visible" r:id="rId3"/>
    <sheet name="2_Bulk_Wine_5120_17_SecA" sheetId="2" state="visible" r:id="rId4"/>
    <sheet name="3_Bottled_Wine_5120_17_SecB" sheetId="3" state="visible" r:id="rId5"/>
    <sheet name="4_Excise_&amp;_CBMA_5000_24"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<sst xmlns="http://schemas.openxmlformats.org/spreadsheetml/2006/main" count="477" uniqueCount="340">
  <si>
    <t xml:space="preserve">Small Winery Quarterly TTB 5120.17 &amp; CBMA Workbook</t>
  </si>
  <si>
    <t xml:space="preserve">By Vintners Desk (vintnersdesk.com): Keep your binder and your Excel sheet. No software to learn; just send us your quarter-end numbers.</t>
  </si>
  <si>
    <t xml:space="preserve">SAMPLE DATA: “Oak Hollow Cellars” is a fictional winery. Replace the yellow cells with your own numbers; every white/grey cell is a live formula.</t>
  </si>
  <si>
    <t xml:space="preserve">Legend:  yellow = input  ·  white/grey = formula (do not type over)  ·  green ✓ PASS / red ✗ FAIL = automatic check  ·  Prepared by Vintners Desk (vintnersdesk.com), Wine Compliance, Done for You.</t>
  </si>
  <si>
    <t xml:space="preserve">WINERY INFORMATION</t>
  </si>
  <si>
    <t xml:space="preserve">Winery legal name</t>
  </si>
  <si>
    <t xml:space="preserve">Oak Hollow Cellars (SAMPLE)</t>
  </si>
  <si>
    <t xml:space="preserve">DBA / operating name</t>
  </si>
  <si>
    <t xml:space="preserve">Oak Hollow (SAMPLE)</t>
  </si>
  <si>
    <t xml:space="preserve">TTB Registry / BWN number</t>
  </si>
  <si>
    <t xml:space="preserve">BW-CA-00000 (SAMPLE)</t>
  </si>
  <si>
    <t xml:space="preserve">Employer Identification Number (EIN)</t>
  </si>
  <si>
    <t xml:space="preserve">00-0000000</t>
  </si>
  <si>
    <t xml:space="preserve">Contact name</t>
  </si>
  <si>
    <t xml:space="preserve">Jane Sample</t>
  </si>
  <si>
    <t xml:space="preserve">Contact email</t>
  </si>
  <si>
    <t xml:space="preserve">jane@example.com</t>
  </si>
  <si>
    <t xml:space="preserve">Contact phone</t>
  </si>
  <si>
    <t xml:space="preserve">(555) 555-0100</t>
  </si>
  <si>
    <t xml:space="preserve">REPORTING PERIOD</t>
  </si>
  <si>
    <t xml:space="preserve">Calendar year</t>
  </si>
  <si>
    <t xml:space="preserve">Reporting period</t>
  </si>
  <si>
    <t xml:space="preserve">Q3</t>
  </si>
  <si>
    <t xml:space="preserve">Form 5120.17 filing frequency</t>
  </si>
  <si>
    <t xml:space="preserve">Quarterly</t>
  </si>
  <si>
    <t xml:space="preserve">Form 5000.24 filing frequency</t>
  </si>
  <si>
    <t xml:space="preserve">Period start</t>
  </si>
  <si>
    <t xml:space="preserve">Period end</t>
  </si>
  <si>
    <t xml:space="preserve">Form 5120.17 due (15th day after period end)</t>
  </si>
  <si>
    <t xml:space="preserve">27 CFR 24.300(g)</t>
  </si>
  <si>
    <t xml:space="preserve">Form 5000.24 due</t>
  </si>
  <si>
    <t xml:space="preserve">27 CFR 24.271–24.273</t>
  </si>
  <si>
    <t xml:space="preserve">Net excise tax due this period (Form 5000.24 Line 21)</t>
  </si>
  <si>
    <t xml:space="preserve">5000.24 frequency hint (projected from this period)</t>
  </si>
  <si>
    <t xml:space="preserve">QUARTER-END CHECKLIST</t>
  </si>
  <si>
    <t xml:space="preserve">Task</t>
  </si>
  <si>
    <t xml:space="preserve">Status</t>
  </si>
  <si>
    <t xml:space="preserve">Notes</t>
  </si>
  <si>
    <t xml:space="preserve">1. Confirm Line 1 (bulk &amp; bottled) equals last report's ending inventory</t>
  </si>
  <si>
    <t xml:space="preserve">Done</t>
  </si>
  <si>
    <t xml:space="preserve">2. Gauge every tank and barrel; enter in the Barrel &amp; Tank Calculator (Tab 2)</t>
  </si>
  <si>
    <t xml:space="preserve">3. Count cased goods by SKU; enter in the Cases-to-Gallons Helper (Tab 3)</t>
  </si>
  <si>
    <t xml:space="preserve">4. Record fermentations, blends, sweetening and amelioration (Tab 2 Lines 2–6)</t>
  </si>
  <si>
    <t xml:space="preserve">5. Record bottling runs (Tab 2 Line 13 and Tab 3 Line 2)</t>
  </si>
  <si>
    <t xml:space="preserve">6. Record transfers in bond, in and out</t>
  </si>
  <si>
    <t xml:space="preserve">7. Pull tasting room, wholesale and DTC depletion reports (Tab 3 taxpaid table)</t>
  </si>
  <si>
    <t xml:space="preserve">8. Record breakage, losses and in-bond tasting</t>
  </si>
  <si>
    <t xml:space="preserve">9. Enter credit-eligible gallons removed earlier this year (Tab 4)</t>
  </si>
  <si>
    <t xml:space="preserve">10. Explain any variance in writing (never plug numbers)</t>
  </si>
  <si>
    <t xml:space="preserve">11. Review the automatic checks below: all ✓ PASS</t>
  </si>
  <si>
    <t xml:space="preserve">12. Save and email the workbook to Vintners Desk</t>
  </si>
  <si>
    <t xml:space="preserve">Not started</t>
  </si>
  <si>
    <t xml:space="preserve">AUTOMATIC CHECKS (live from Tabs 2–4)</t>
  </si>
  <si>
    <t xml:space="preserve">Check</t>
  </si>
  <si>
    <t xml:space="preserve">Result</t>
  </si>
  <si>
    <t xml:space="preserve">Variance / detail</t>
  </si>
  <si>
    <t xml:space="preserve">Section A bulk reconciles (Line 12 − Line 32)</t>
  </si>
  <si>
    <t xml:space="preserve">Section A Line 1 = prior report Line 31</t>
  </si>
  <si>
    <t xml:space="preserve">Section B bottled reconciles (Line 7 − Line 21)</t>
  </si>
  <si>
    <t xml:space="preserve">Section B Line 1 = prior report Line 20</t>
  </si>
  <si>
    <t xml:space="preserve">Bulk Line 13 = Bottled Line 2</t>
  </si>
  <si>
    <t xml:space="preserve">5000.24 taxable gallons tie to 5120.17 taxpaid removals</t>
  </si>
  <si>
    <t xml:space="preserve">Checklist tasks 1–11 complete (Done or N/A)</t>
  </si>
  <si>
    <t xml:space="preserve">OVERALL STATUS</t>
  </si>
  <si>
    <t xml:space="preserve">HOW TO SEND THIS WORKBOOK TO VINTNERS DESK</t>
  </si>
  <si>
    <t xml:space="preserve">Suggested file name</t>
  </si>
  <si>
    <t xml:space="preserve">Email to</t>
  </si>
  <si>
    <t xml:space="preserve">hello@vintnersdesk.com</t>
  </si>
  <si>
    <t xml:space="preserve">Email subject line</t>
  </si>
  <si>
    <t xml:space="preserve">Template Review &amp; File: $59/mo ($179/qtr) for quarterly filers, or $199/yr for annual filers. We reconcile this workbook, flag every variance with its line reference, draft your Form 5120.17 and Form 5000.24 (with the CBMA credit), and send you an approval packet. We file under your POA after you reply APPROVE.</t>
  </si>
  <si>
    <t xml:space="preserve">Keep your 3-ring binder and your Excel sheet. There's no software to learn; just send us your quarter-end numbers. Any tax due is paid by you directly to TTB. We never enter, store or use your bank details.</t>
  </si>
  <si>
    <t xml:space="preserve">Vintners Desk is operated by Voraus LLC. We are not a law firm or CPA firm and provide administrative preparation and filing only, not legal or tax advice. Line references follow TTB F 5120.17 and TTB F 5000.24; check against the current forms at ttb.gov.</t>
  </si>
  <si>
    <t xml:space="preserve">Line</t>
  </si>
  <si>
    <t xml:space="preserve">Item</t>
  </si>
  <si>
    <t xml:space="preserve">(a) Not over 16%</t>
  </si>
  <si>
    <t xml:space="preserve">(b) Over 16 to 21%</t>
  </si>
  <si>
    <t xml:space="preserve">(c) Over 21 to 24%</t>
  </si>
  <si>
    <t xml:space="preserve">(d) Artificially carbonated</t>
  </si>
  <si>
    <t xml:space="preserve">(e) Sparkling wine</t>
  </si>
  <si>
    <t xml:space="preserve">(f) Hard cider</t>
  </si>
  <si>
    <t xml:space="preserve">Row total</t>
  </si>
  <si>
    <t xml:space="preserve">Notes / where the number comes from</t>
  </si>
  <si>
    <t xml:space="preserve">Class key (used by the calculators below)</t>
  </si>
  <si>
    <t xml:space="preserve">a: ≤16%</t>
  </si>
  <si>
    <t xml:space="preserve">b: &gt;16–21%</t>
  </si>
  <si>
    <t xml:space="preserve">c: &gt;21–24%</t>
  </si>
  <si>
    <t xml:space="preserve">d: Art. carbonated</t>
  </si>
  <si>
    <t xml:space="preserve">e: Sparkling</t>
  </si>
  <si>
    <t xml:space="preserve">f: Hard cider</t>
  </si>
  <si>
    <t xml:space="preserve">INCREASES (Lines 1–11)</t>
  </si>
  <si>
    <t xml:space="preserve">On hand beginning of period</t>
  </si>
  <si>
    <t xml:space="preserve">Must equal Line 31 of your last filed report (see check below).</t>
  </si>
  <si>
    <t xml:space="preserve">Produced by fermentation</t>
  </si>
  <si>
    <t xml:space="preserve">Volume when fermentation is complete / wine leaves the fermenter.</t>
  </si>
  <si>
    <t xml:space="preserve">Produced by sweetening</t>
  </si>
  <si>
    <t xml:space="preserve">Volume AFTER sweetening (BEFORE goes on Line 18).</t>
  </si>
  <si>
    <t xml:space="preserve">Produced by addition of wine spirits</t>
  </si>
  <si>
    <t xml:space="preserve">Volume AFTER fortifying (BEFORE goes on Line 19).</t>
  </si>
  <si>
    <t xml:space="preserve">Produced by blending</t>
  </si>
  <si>
    <t xml:space="preserve">Only when wines of different tax classes are blended.</t>
  </si>
  <si>
    <t xml:space="preserve">Produced by amelioration</t>
  </si>
  <si>
    <t xml:space="preserve">Volume AFTER amelioration (BEFORE goes on Line 21).</t>
  </si>
  <si>
    <t xml:space="preserve">Received in bond</t>
  </si>
  <si>
    <t xml:space="preserve">Untaxpaid bulk wine received from another bonded winery/cellar.</t>
  </si>
  <si>
    <t xml:space="preserve">Bottled wine dumped to bulk</t>
  </si>
  <si>
    <t xml:space="preserve">Same amount as Section B, Line 10.</t>
  </si>
  <si>
    <t xml:space="preserve">Inventory gains</t>
  </si>
  <si>
    <t xml:space="preserve">Only after a complete physical inventory.</t>
  </si>
  <si>
    <t xml:space="preserve">Write-in (e.g., change of tax class)</t>
  </si>
  <si>
    <t xml:space="preserve">Edit the label as needed.</t>
  </si>
  <si>
    <t xml:space="preserve">Write-in (e.g., formula wine produced)</t>
  </si>
  <si>
    <t xml:space="preserve">TOTAL (sum of Lines 1–11)</t>
  </si>
  <si>
    <t xml:space="preserve">Formula.</t>
  </si>
  <si>
    <t xml:space="preserve">DECREASES (Lines 13–31)</t>
  </si>
  <si>
    <t xml:space="preserve">Bottled</t>
  </si>
  <si>
    <t xml:space="preserve">Same quantity as Section B, Line 2 (cross-check on Tab 3).</t>
  </si>
  <si>
    <t xml:space="preserve">Removed taxpaid (bulk)</t>
  </si>
  <si>
    <t xml:space="preserve">Bulk wine removed taxpaid; flows to Tab 4 excise.</t>
  </si>
  <si>
    <t xml:space="preserve">Transfers in bond</t>
  </si>
  <si>
    <t xml:space="preserve">Bulk wine shipped in bond to another bonded premises.</t>
  </si>
  <si>
    <t xml:space="preserve">Removed for distilling material</t>
  </si>
  <si>
    <t xml:space="preserve">Removed to vinegar plant</t>
  </si>
  <si>
    <t xml:space="preserve">Used for sweetening</t>
  </si>
  <si>
    <t xml:space="preserve">Volume BEFORE sweetening.</t>
  </si>
  <si>
    <t xml:space="preserve">Used for addition of wine spirits</t>
  </si>
  <si>
    <t xml:space="preserve">Volume BEFORE fortifying.</t>
  </si>
  <si>
    <t xml:space="preserve">Used for blending</t>
  </si>
  <si>
    <t xml:space="preserve">Only blends across tax classes.</t>
  </si>
  <si>
    <t xml:space="preserve">Used for amelioration</t>
  </si>
  <si>
    <t xml:space="preserve">Volume BEFORE amelioration.</t>
  </si>
  <si>
    <t xml:space="preserve">Used for effervescent wine</t>
  </si>
  <si>
    <t xml:space="preserve">Base wine used for sparkling/carbonated.</t>
  </si>
  <si>
    <t xml:space="preserve">Used for testing</t>
  </si>
  <si>
    <t xml:space="preserve">Write-in (e.g., used for formula wine)</t>
  </si>
  <si>
    <t xml:space="preserve">Write-in (e.g., removed for export)</t>
  </si>
  <si>
    <t xml:space="preserve">Write-in (e.g., returned to fermenter)</t>
  </si>
  <si>
    <t xml:space="preserve">Write-in (e.g., destroyed with TTB approval)</t>
  </si>
  <si>
    <t xml:space="preserve">Losses (other than inventory)</t>
  </si>
  <si>
    <t xml:space="preserve">Casualty losses, e.g., spill from equipment failure. Report to TTB.</t>
  </si>
  <si>
    <t xml:space="preserve">Inventory losses (racking, topping, evaporation, lees)</t>
  </si>
  <si>
    <t xml:space="preserve">Book only after a complete physical inventory explains it. Never plug a number to force a balance.</t>
  </si>
  <si>
    <t xml:space="preserve">On hand end of period (physical gauge)</t>
  </si>
  <si>
    <t xml:space="preserve">Formula: linked from the Barrel &amp; Tank Gallonage Calculator below. Carry forward to next report's Line 1.</t>
  </si>
  <si>
    <t xml:space="preserve">TOTAL (sum of Lines 13–31)</t>
  </si>
  <si>
    <t xml:space="preserve">Formula. Must equal Line 12.</t>
  </si>
  <si>
    <t xml:space="preserve">RECONCILIATION CHECKS (automatic)</t>
  </si>
  <si>
    <t xml:space="preserve">Line 12 − Line 32 (must be 0.00 gal)</t>
  </si>
  <si>
    <t xml:space="preserve">Any difference means a transaction is missing or mis-posted.</t>
  </si>
  <si>
    <t xml:space="preserve">Section A reconciliation</t>
  </si>
  <si>
    <t xml:space="preserve">Book ending = Line 12 − Lines 13–30</t>
  </si>
  <si>
    <t xml:space="preserve">Physical (Line 31) − book ending</t>
  </si>
  <si>
    <t xml:space="preserve">Negative = shortfall to explain (Line 30); positive = gain (Line 9). Explain before booking; never plug.</t>
  </si>
  <si>
    <t xml:space="preserve">Prior report Line 31 (from your last filed 5120.17)</t>
  </si>
  <si>
    <t xml:space="preserve">Line 1 − prior Line 31 (must be 0.00 gal)</t>
  </si>
  <si>
    <t xml:space="preserve">Opening inventory tie-out</t>
  </si>
  <si>
    <t xml:space="preserve">BARREL &amp; TANK GALLONAGE CALCULATOR: physical gauge at period end → feeds Line 31</t>
  </si>
  <si>
    <t xml:space="preserve">#</t>
  </si>
  <si>
    <t xml:space="preserve">Vessel ID / description</t>
  </si>
  <si>
    <t xml:space="preserve">Vessel type</t>
  </si>
  <si>
    <t xml:space="preserve">Tax class</t>
  </si>
  <si>
    <t xml:space="preserve">Count</t>
  </si>
  <si>
    <t xml:space="preserve">Gallons each</t>
  </si>
  <si>
    <t xml:space="preserve">Total gallons</t>
  </si>
  <si>
    <t xml:space="preserve">2025 Pinot Noir: neutral French oak</t>
  </si>
  <si>
    <t xml:space="preserve">Barrel</t>
  </si>
  <si>
    <t xml:space="preserve">2025 Cabernet Sauvignon: French oak</t>
  </si>
  <si>
    <t xml:space="preserve">Topping keg (2025 blend)</t>
  </si>
  <si>
    <t xml:space="preserve">Keg</t>
  </si>
  <si>
    <t xml:space="preserve">Tank T1: 2026 Sauvignon Blanc (new ferment)</t>
  </si>
  <si>
    <t xml:space="preserve">Tank</t>
  </si>
  <si>
    <t xml:space="preserve">Tank T2: 2026 Rosé (new ferment)</t>
  </si>
  <si>
    <t xml:space="preserve">Port-style (18% ABV)</t>
  </si>
  <si>
    <t xml:space="preserve">Port-style topping carboys</t>
  </si>
  <si>
    <t xml:space="preserve">Carboy</t>
  </si>
  <si>
    <t xml:space="preserve">Total gauged</t>
  </si>
  <si>
    <t xml:space="preserve">Physical ending inventory by tax class → Line 31</t>
  </si>
  <si>
    <t xml:space="preserve">INCREASES (Lines 1–6)</t>
  </si>
  <si>
    <t xml:space="preserve">Must equal Line 20 of your last filed report (see check below).</t>
  </si>
  <si>
    <t xml:space="preserve">From your bottling log. Must equal Section A Line 13 (cross-check below).</t>
  </si>
  <si>
    <t xml:space="preserve">Bottled wine received untaxpaid from another bonded premises.</t>
  </si>
  <si>
    <t xml:space="preserve">Taxpaid wine returned to bond</t>
  </si>
  <si>
    <t xml:space="preserve">Returns from customers/distributors brought back into bond.</t>
  </si>
  <si>
    <t xml:space="preserve">Write-in: inventory gain</t>
  </si>
  <si>
    <t xml:space="preserve">Write-in</t>
  </si>
  <si>
    <t xml:space="preserve">TOTAL (sum of Lines 1–6)</t>
  </si>
  <si>
    <t xml:space="preserve">DECREASES (Lines 8–20)</t>
  </si>
  <si>
    <t xml:space="preserve">Removed taxpaid (8a + 8b + 8c)</t>
  </si>
  <si>
    <t xml:space="preserve">Formula. Flows to Tab 4 (Form 5000.24 taxable gallons).</t>
  </si>
  <si>
    <t xml:space="preserve">8a   Tasting room sales</t>
  </si>
  <si>
    <t xml:space="preserve">Formula: from the Taxpaid Removals by Channel table below.</t>
  </si>
  <si>
    <t xml:space="preserve">8b   Wholesale / distributor</t>
  </si>
  <si>
    <t xml:space="preserve">8c   Direct-to-consumer shipments</t>
  </si>
  <si>
    <t xml:space="preserve">Transferred in bond</t>
  </si>
  <si>
    <t xml:space="preserve">Dumped to bulk</t>
  </si>
  <si>
    <t xml:space="preserve">Same amount as Section A, Line 8.</t>
  </si>
  <si>
    <t xml:space="preserve">Used for tasting (untaxed, in bond)</t>
  </si>
  <si>
    <t xml:space="preserve">In-bond tasting only. Tasting-room SALES are taxpaid and go on Line 8a.</t>
  </si>
  <si>
    <t xml:space="preserve">Removed for export</t>
  </si>
  <si>
    <t xml:space="preserve">Removed for family use</t>
  </si>
  <si>
    <t xml:space="preserve">Write-in: destroyed</t>
  </si>
  <si>
    <t xml:space="preserve">With TTB approval.</t>
  </si>
  <si>
    <t xml:space="preserve">Breakage</t>
  </si>
  <si>
    <t xml:space="preserve">Broken bottles found in the cellar/warehouse.</t>
  </si>
  <si>
    <t xml:space="preserve">Inventory shortage</t>
  </si>
  <si>
    <t xml:space="preserve">Explain fully in Part X; unexplained shortages can be taxed.</t>
  </si>
  <si>
    <t xml:space="preserve">On hand end of period (cased-goods count)</t>
  </si>
  <si>
    <t xml:space="preserve">Formula: from the Cases-to-Wine-Gallons Helper below. Carry forward to next report's Line 1.</t>
  </si>
  <si>
    <t xml:space="preserve">TOTAL (Line 8 + Lines 9–20)</t>
  </si>
  <si>
    <t xml:space="preserve">Formula. Must equal Line 7.</t>
  </si>
  <si>
    <t xml:space="preserve">Line 7 − Line 21 (must be 0.00 gal)</t>
  </si>
  <si>
    <t xml:space="preserve">Section B reconciliation</t>
  </si>
  <si>
    <t xml:space="preserve">Bulk Sec. A Line 13 − Bottled Line 2 (must be 0.00 gal)</t>
  </si>
  <si>
    <t xml:space="preserve">TTB requires Sec. A Line 13 and Sec. B Line 2 to show the same quantities.</t>
  </si>
  <si>
    <t xml:space="preserve">Bulk-to-bottled cross-check</t>
  </si>
  <si>
    <t xml:space="preserve">Prior report Line 20 (from your last filed 5120.17)</t>
  </si>
  <si>
    <t xml:space="preserve">Line 1 − prior Line 20 (must be 0.00 gal)</t>
  </si>
  <si>
    <t xml:space="preserve">TAXPAID REMOVALS BY CHANNEL: cases → wine gallons → feeds Lines 8a–8c</t>
  </si>
  <si>
    <t xml:space="preserve">Channel</t>
  </si>
  <si>
    <t xml:space="preserve">Bottle size (mL)</t>
  </si>
  <si>
    <t xml:space="preserve">Bottles / case</t>
  </si>
  <si>
    <t xml:space="preserve">Cases removed</t>
  </si>
  <si>
    <t xml:space="preserve">Loose bottles</t>
  </si>
  <si>
    <t xml:space="preserve">Direct gallons (optional)</t>
  </si>
  <si>
    <t xml:space="preserve">Wine gallons</t>
  </si>
  <si>
    <t xml:space="preserve">SKU / notes</t>
  </si>
  <si>
    <t xml:space="preserve">Tasting room</t>
  </si>
  <si>
    <t xml:space="preserve">2025 Pinot Noir / Rosé / Cab: tasting-room bottle sales</t>
  </si>
  <si>
    <t xml:space="preserve">Wholesale</t>
  </si>
  <si>
    <t xml:space="preserve">Distributor orders</t>
  </si>
  <si>
    <t xml:space="preserve">DTC</t>
  </si>
  <si>
    <t xml:space="preserve">Wine club + online shipments</t>
  </si>
  <si>
    <t xml:space="preserve">Port-style half bottles</t>
  </si>
  <si>
    <t xml:space="preserve">Brut sparkling, club shipment</t>
  </si>
  <si>
    <t xml:space="preserve">Total</t>
  </si>
  <si>
    <t xml:space="preserve">CASES-TO-WINE-GALLONS HELPER: cased-goods count at period end → feeds Line 20</t>
  </si>
  <si>
    <t xml:space="preserve">SKU / wine</t>
  </si>
  <si>
    <t xml:space="preserve">Gallons / case</t>
  </si>
  <si>
    <t xml:space="preserve">Cases on hand</t>
  </si>
  <si>
    <t xml:space="preserve">2025 Pinot Noir</t>
  </si>
  <si>
    <t xml:space="preserve">2025 Rosé</t>
  </si>
  <si>
    <t xml:space="preserve">2024 Cabernet Sauvignon</t>
  </si>
  <si>
    <t xml:space="preserve">2024 Cabernet Sauvignon (magnum)</t>
  </si>
  <si>
    <t xml:space="preserve">Port-style (375 mL)</t>
  </si>
  <si>
    <t xml:space="preserve">Brut sparkling</t>
  </si>
  <si>
    <t xml:space="preserve">Standard 9 L case (12 × 750 mL) = 9 ÷ 3.785411784 gal/case →</t>
  </si>
  <si>
    <t xml:space="preserve">RATE TABLE: 26 U.S.C. 5041(b) tax rates and 5041(c) CBMA credits (TTB Tax Rates page, 2018–present). Update only if the law changes.</t>
  </si>
  <si>
    <t xml:space="preserve">Rate per wine gallon</t>
  </si>
  <si>
    <t xml:space="preserve">Notes / source</t>
  </si>
  <si>
    <t xml:space="preserve">Statutory tax rate</t>
  </si>
  <si>
    <t xml:space="preserve">26 U.S.C. 5041(b).</t>
  </si>
  <si>
    <t xml:space="preserve">CBMA credit: Tier 1 (first 30,000 gal)</t>
  </si>
  <si>
    <t xml:space="preserve">5041(c)(1)(A)(i); hard cider 6.2¢ per (c)(1)(B).</t>
  </si>
  <si>
    <t xml:space="preserve">CBMA credit: Tier 2 (next 100,000 gal)</t>
  </si>
  <si>
    <t xml:space="preserve">5041(c)(1)(A)(ii); hard cider 5.6¢.</t>
  </si>
  <si>
    <t xml:space="preserve">CBMA credit: Tier 3 (next 620,000 gal)</t>
  </si>
  <si>
    <t xml:space="preserve">5041(c)(1)(A)(iii); hard cider 3.3¢.</t>
  </si>
  <si>
    <t xml:space="preserve">Net rate after Tier 1 credit</t>
  </si>
  <si>
    <t xml:space="preserve">Formula. Table wine nets $0.07 / $0.17 / $0.535; hard cider $0.164 / $0.170 / $0.193.</t>
  </si>
  <si>
    <t xml:space="preserve">Net rate after Tier 2 credit</t>
  </si>
  <si>
    <t xml:space="preserve">Net rate after Tier 3 credit</t>
  </si>
  <si>
    <t xml:space="preserve">CONSTANTS &amp; PERIOD INPUTS</t>
  </si>
  <si>
    <t xml:space="preserve">Tier 1 size (wine gallons per calendar year)</t>
  </si>
  <si>
    <t xml:space="preserve">Tier 2 size (next wine gallons)</t>
  </si>
  <si>
    <t xml:space="preserve">Tier 3 size (next wine gallons)</t>
  </si>
  <si>
    <t xml:space="preserve">Milliliters per U.S. wine gallon</t>
  </si>
  <si>
    <t xml:space="preserve">Used by the case converters on Tab 3 (9 L case = 2.377548 gal).</t>
  </si>
  <si>
    <t xml:space="preserve">Credit-eligible gallons already removed this calendar year (before this period)</t>
  </si>
  <si>
    <t xml:space="preserve">Sum of taxpaid gallons on your earlier returns this calendar year (Jan 1 to the start of this period).</t>
  </si>
  <si>
    <t xml:space="preserve">Schedule A: adjustments increasing amount due ($)</t>
  </si>
  <si>
    <t xml:space="preserve">Prior-period corrections only on client instruction.</t>
  </si>
  <si>
    <t xml:space="preserve">Schedule B: other decreasing adjustment ($), non-CBMA</t>
  </si>
  <si>
    <t xml:space="preserve">Explanation of other decreasing adjustment</t>
  </si>
  <si>
    <t xml:space="preserve">TAXABLE REMOVALS, GROSS TAX &amp; CBMA CREDIT BY TAX CLASS (this period)</t>
  </si>
  <si>
    <t xml:space="preserve">Taxpaid gallons from Bottled Sec. B Line 8</t>
  </si>
  <si>
    <t xml:space="preserve">Linked to Tab 3.</t>
  </si>
  <si>
    <t xml:space="preserve">Taxpaid gallons from Bulk Sec. A Line 14</t>
  </si>
  <si>
    <t xml:space="preserve">Linked to Tab 2.</t>
  </si>
  <si>
    <t xml:space="preserve">Total taxable wine gallons removed</t>
  </si>
  <si>
    <t xml:space="preserve">Less: gallons not produced by you (no CBMA credit)</t>
  </si>
  <si>
    <t xml:space="preserve">Input. E.g., wine bought in bond and not produced by you, with no credit transfer.</t>
  </si>
  <si>
    <t xml:space="preserve">Credit-eligible gallons</t>
  </si>
  <si>
    <t xml:space="preserve">Gross tax (gallons × statutory rate)</t>
  </si>
  <si>
    <t xml:space="preserve">Formula. Goes on Form 5000.24 Line 10.</t>
  </si>
  <si>
    <t xml:space="preserve">Tier 1 gallons still available before this class</t>
  </si>
  <si>
    <t xml:space="preserve">Formula. Tiers filled in column order (see note).</t>
  </si>
  <si>
    <t xml:space="preserve">Gallons credited at Tier 1</t>
  </si>
  <si>
    <t xml:space="preserve">Tier 2 gallons still available before this class</t>
  </si>
  <si>
    <t xml:space="preserve">Gallons credited at Tier 2</t>
  </si>
  <si>
    <t xml:space="preserve">Tier 3 gallons still available before this class</t>
  </si>
  <si>
    <t xml:space="preserve">Gallons credited at Tier 3</t>
  </si>
  <si>
    <t xml:space="preserve">Gallons above 750,000 (no credit)</t>
  </si>
  <si>
    <t xml:space="preserve">Tier 1 credit ($)</t>
  </si>
  <si>
    <t xml:space="preserve">Tier 2 credit ($)</t>
  </si>
  <si>
    <t xml:space="preserve">Tier 3 credit ($)</t>
  </si>
  <si>
    <t xml:space="preserve">Total CBMA credit ($)</t>
  </si>
  <si>
    <t xml:space="preserve">Formula. Goes on Schedule B.</t>
  </si>
  <si>
    <t xml:space="preserve">Net tax after credit ($)</t>
  </si>
  <si>
    <t xml:space="preserve">Effective net rate per gallon</t>
  </si>
  <si>
    <t xml:space="preserve">CALENDAR-YEAR CBMA TRACKER &amp; TIE-OUT</t>
  </si>
  <si>
    <t xml:space="preserve">Credit-eligible gallons removed YTD after this period</t>
  </si>
  <si>
    <t xml:space="preserve">Tier 1 gallons left this calendar year</t>
  </si>
  <si>
    <t xml:space="preserve">Credit status</t>
  </si>
  <si>
    <t xml:space="preserve">Taxable gallons here − (Bottled Line 8 + Bulk Line 14) on 5120.17</t>
  </si>
  <si>
    <t xml:space="preserve">5000.24 ↔ 5120.17 taxpaid removals tie-out</t>
  </si>
  <si>
    <t xml:space="preserve">TTB F 5000.24: CALCULATION OF TAX DUE (copy these amounts to the form / Pay.gov)</t>
  </si>
  <si>
    <t xml:space="preserve">Line / product</t>
  </si>
  <si>
    <t xml:space="preserve">Amount ($)</t>
  </si>
  <si>
    <t xml:space="preserve">Explanation</t>
  </si>
  <si>
    <t xml:space="preserve">Line 9: Distilled spirits</t>
  </si>
  <si>
    <t xml:space="preserve">Not applicable to a winery.</t>
  </si>
  <si>
    <t xml:space="preserve">Line 10: Wine (gross tax BEFORE CBMA credit)</t>
  </si>
  <si>
    <t xml:space="preserve">27 CFR 24.278(f): show wine tax before credit; the credit goes on Schedule B.</t>
  </si>
  <si>
    <t xml:space="preserve">Line 11: Beer</t>
  </si>
  <si>
    <t xml:space="preserve">Line 12: Cigars</t>
  </si>
  <si>
    <t xml:space="preserve">Line 13: Cigarettes</t>
  </si>
  <si>
    <t xml:space="preserve">Line 14: Cigarette papers and/or tubes</t>
  </si>
  <si>
    <t xml:space="preserve">Line 15: Chewing tobacco and/or snuff</t>
  </si>
  <si>
    <t xml:space="preserve">Line 16: Pipe and/or roll-your-own tobacco</t>
  </si>
  <si>
    <t xml:space="preserve">Line 17: Total tax liability (Lines 9–16)</t>
  </si>
  <si>
    <t xml:space="preserve">Line 18: Adjustments increasing amount due (from Line 29)</t>
  </si>
  <si>
    <t xml:space="preserve">Line 19: Gross amount due (Line 17 + Line 18)</t>
  </si>
  <si>
    <t xml:space="preserve">Line 20: Adjustments decreasing amount due (from Line 34)</t>
  </si>
  <si>
    <t xml:space="preserve">Formula. Includes the CBMA credit.</t>
  </si>
  <si>
    <t xml:space="preserve">Line 21: AMOUNT TO BE PAID WITH THIS RETURN</t>
  </si>
  <si>
    <t xml:space="preserve">Formula. You pay TTB directly (Pay.gov or check). Vintners Desk never handles your bank details.</t>
  </si>
  <si>
    <t xml:space="preserve">SCHEDULE A: ADJUSTMENTS INCREASING AMOUNT DUE</t>
  </si>
  <si>
    <t xml:space="preserve">Line 25: Increasing adjustment</t>
  </si>
  <si>
    <t xml:space="preserve">From the Schedule A input above.</t>
  </si>
  <si>
    <t xml:space="preserve">Line 28: Subtotal</t>
  </si>
  <si>
    <t xml:space="preserve">Line 29: Total increasing adjustments → Line 18</t>
  </si>
  <si>
    <t xml:space="preserve">SCHEDULE B: ADJUSTMENTS DECREASING AMOUNT DUE (CBMA credit goes here)</t>
  </si>
  <si>
    <t xml:space="preserve">Line 30: CBMA credit, Tier 1</t>
  </si>
  <si>
    <t xml:space="preserve">Line 31: CBMA credit, Tier 2</t>
  </si>
  <si>
    <t xml:space="preserve">Line 32: CBMA credit, Tier 3 + other decreasing adjustment</t>
  </si>
  <si>
    <t xml:space="preserve">Line 33: Subtotal</t>
  </si>
  <si>
    <t xml:space="preserve">Line 34: Total decreasing adjustments → Line 20</t>
  </si>
  <si>
    <t xml:space="preserve">• Removal order: TTB requires credits to follow the actual order gallons were removed during the calendar year (CBMA FAQ TR-W4). This sheet fills tiers in tax-class column order, which only matters once you pass 30,000 gal. Under 30,000 gal, every eligible gallon gets the Tier 1 credit.</t>
  </si>
  <si>
    <t xml:space="preserve">• Eligibility: the credit applies to wine you produced (or credits transferred to you under 5041(c)(5)). Controlled-group / single-taxpayer rules (5041(c)(3)) can limit it. Ask your CPA or attorney if that applies to you.</t>
  </si>
  <si>
    <t xml:space="preserve">• Filing frequency (27 CFR 24.271–24.273): annual if ≤ $1,000 of tax last year and expected this year (due Jan 14); quarterly if ≤ $50,000 (due the 14th day after quarter end); otherwise semimonthly.</t>
  </si>
  <si>
    <t xml:space="preserve">• Not legal or tax advice. Vintners Desk (Voraus LLC) prepares and files administratively under your POA after you approve. Check every figure against your records and current TTB forms.</t>
  </si>
</sst>
</file>

<file path=xl/styles.xml><?xml version="1.0" encoding="utf-8"?>
<styleSheet xmlns="http://schemas.openxmlformats.org/spreadsheetml/2006/main">
  <numFmts count="12">
    <numFmt numFmtId="164" formatCode="General"/>
    <numFmt numFmtId="165" formatCode="0"/>
    <numFmt numFmtId="166" formatCode="mmm\ d&quot;, &quot;yyyy"/>
    <numFmt numFmtId="167" formatCode="\$#,##0.00;&quot;($&quot;#,##0.00\);\-"/>
    <numFmt numFmtId="168" formatCode="0.00&quot; gal&quot;;\-0.00&quot; gal&quot;;0.00&quot; gal&quot;"/>
    <numFmt numFmtId="169" formatCode="#,##0.00;\(#,##0.00\);\-"/>
    <numFmt numFmtId="170" formatCode="#,##0"/>
    <numFmt numFmtId="171" formatCode="#,##0.00"/>
    <numFmt numFmtId="172" formatCode="0.000000;\-0.000000;&quot;&quot;"/>
    <numFmt numFmtId="173" formatCode="0.000000"/>
    <numFmt numFmtId="174" formatCode="\$0.000"/>
    <numFmt numFmtId="175" formatCode="#,##0.000000"/>
  </numFmts>
  <fonts count="24">
    <font>
      <sz val="11"/>
      <color theme="1"/>
      <name val="Calibri"/>
      <family val="2"/>
      <charset val="1"/>
    </font>
    <font>
      <sz val="10"/>
      <name val="Arial"/>
      <family val="0"/>
    </font>
    <font>
      <sz val="10"/>
      <name val="Arial"/>
      <family val="0"/>
    </font>
    <font>
      <sz val="10"/>
      <name val="Arial"/>
      <family val="0"/>
    </font>
    <font>
      <b val="true"/>
      <sz val="16"/>
      <color rgb="FFFFFFFF"/>
      <name val="Cambria"/>
      <family val="0"/>
      <charset val="1"/>
    </font>
    <font>
      <b val="true"/>
      <sz val="11"/>
      <color rgb="FF5B1A2C"/>
      <name val="Cambria"/>
      <family val="0"/>
      <charset val="1"/>
    </font>
    <font>
      <b val="true"/>
      <sz val="11"/>
      <color rgb="FF7A4B00"/>
      <name val="Cambria"/>
      <family val="0"/>
      <charset val="1"/>
    </font>
    <font>
      <i val="true"/>
      <sz val="9"/>
      <color rgb="FF595959"/>
      <name val="Cambria"/>
      <family val="0"/>
      <charset val="1"/>
    </font>
    <font>
      <sz val="11"/>
      <name val="Cambria"/>
      <family val="0"/>
      <charset val="1"/>
    </font>
    <font>
      <sz val="11"/>
      <color rgb="FF1F3A93"/>
      <name val="Cambria"/>
      <family val="0"/>
      <charset val="1"/>
    </font>
    <font>
      <b val="true"/>
      <sz val="11"/>
      <name val="Cambria"/>
      <family val="0"/>
      <charset val="1"/>
    </font>
    <font>
      <sz val="9"/>
      <color rgb="FF595959"/>
      <name val="Cambria"/>
      <family val="0"/>
      <charset val="1"/>
    </font>
    <font>
      <sz val="10"/>
      <name val="Cambria"/>
      <family val="0"/>
      <charset val="1"/>
    </font>
    <font>
      <b val="true"/>
      <sz val="11"/>
      <color rgb="FFFFFFFF"/>
      <name val="Cambria"/>
      <family val="0"/>
      <charset val="1"/>
    </font>
    <font>
      <b val="true"/>
      <sz val="12"/>
      <name val="Cambria"/>
      <family val="0"/>
      <charset val="1"/>
    </font>
    <font>
      <sz val="10"/>
      <color rgb="FF404040"/>
      <name val="Cambria"/>
      <family val="0"/>
      <charset val="1"/>
    </font>
    <font>
      <i val="true"/>
      <sz val="8"/>
      <color rgb="FF7F7F7F"/>
      <name val="Cambria"/>
      <family val="0"/>
      <charset val="1"/>
    </font>
    <font>
      <sz val="11"/>
      <color rgb="FF7F7F7F"/>
      <name val="Cambria"/>
      <family val="0"/>
      <charset val="1"/>
    </font>
    <font>
      <i val="true"/>
      <sz val="11"/>
      <name val="Cambria"/>
      <family val="0"/>
      <charset val="1"/>
    </font>
    <font>
      <sz val="9"/>
      <color rgb="FF1F3A93"/>
      <name val="Cambria"/>
      <family val="0"/>
      <charset val="1"/>
    </font>
    <font>
      <i val="true"/>
      <sz val="11"/>
      <color rgb="FF595959"/>
      <name val="Cambria"/>
      <family val="0"/>
      <charset val="1"/>
    </font>
    <font>
      <b val="true"/>
      <sz val="12"/>
      <color rgb="FF5B1A2C"/>
      <name val="Cambria"/>
      <family val="0"/>
      <charset val="1"/>
    </font>
    <font>
      <sz val="9"/>
      <name val="Cambria"/>
      <family val="0"/>
      <charset val="1"/>
    </font>
    <font>
      <sz val="9"/>
      <color rgb="FF404040"/>
      <name val="Cambria"/>
      <family val="0"/>
      <charset val="1"/>
    </font>
  </fonts>
  <fills count="9">
    <fill>
      <patternFill patternType="none"/>
    </fill>
    <fill>
      <patternFill patternType="gray125"/>
    </fill>
    <fill>
      <patternFill patternType="solid">
        <fgColor rgb="FF5B1A2C"/>
        <bgColor rgb="FF800000"/>
      </patternFill>
    </fill>
    <fill>
      <patternFill patternType="solid">
        <fgColor rgb="FFFFFFFF"/>
        <bgColor rgb="FFF7F7F7"/>
      </patternFill>
    </fill>
    <fill>
      <patternFill patternType="solid">
        <fgColor rgb="FFFDEBD0"/>
        <bgColor rgb="FFF3EAD8"/>
      </patternFill>
    </fill>
    <fill>
      <patternFill patternType="solid">
        <fgColor rgb="FFF3EAD8"/>
        <bgColor rgb="FFFDEBD0"/>
      </patternFill>
    </fill>
    <fill>
      <patternFill patternType="solid">
        <fgColor rgb="FFFFF4C7"/>
        <bgColor rgb="FFFDEBD0"/>
      </patternFill>
    </fill>
    <fill>
      <patternFill patternType="solid">
        <fgColor rgb="FFEDEDED"/>
        <bgColor rgb="FFF3EAD8"/>
      </patternFill>
    </fill>
    <fill>
      <patternFill patternType="solid">
        <fgColor rgb="FFF7F7F7"/>
        <bgColor rgb="FFFFFFFF"/>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true" indent="0" shrinkToFit="false"/>
      <protection locked="true" hidden="false"/>
    </xf>
    <xf numFmtId="164" fontId="5" fillId="3" borderId="0" xfId="0" applyFont="true" applyBorder="true" applyAlignment="true" applyProtection="false">
      <alignment horizontal="general" vertical="center" textRotation="0" wrapText="true" indent="0" shrinkToFit="false"/>
      <protection locked="true" hidden="false"/>
    </xf>
    <xf numFmtId="164" fontId="6" fillId="4" borderId="0" xfId="0" applyFont="true" applyBorder="true" applyAlignment="true" applyProtection="false">
      <alignment horizontal="general" vertical="center" textRotation="0" wrapText="true" indent="0" shrinkToFit="false"/>
      <protection locked="true" hidden="false"/>
    </xf>
    <xf numFmtId="164" fontId="7" fillId="3" borderId="0" xfId="0" applyFont="true" applyBorder="true" applyAlignment="true" applyProtection="false">
      <alignment horizontal="general" vertical="center" textRotation="0" wrapText="true" indent="0" shrinkToFit="false"/>
      <protection locked="true" hidden="false"/>
    </xf>
    <xf numFmtId="164" fontId="5" fillId="5" borderId="0"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9" fillId="6" borderId="1" xfId="0" applyFont="true" applyBorder="true" applyAlignment="false" applyProtection="false">
      <alignment horizontal="general" vertical="bottom" textRotation="0" wrapText="false" indent="0" shrinkToFit="false"/>
      <protection locked="true" hidden="false"/>
    </xf>
    <xf numFmtId="165" fontId="9" fillId="6" borderId="1" xfId="0" applyFont="true" applyBorder="true" applyAlignment="true" applyProtection="false">
      <alignment horizontal="left" vertical="bottom" textRotation="0" wrapText="false" indent="0" shrinkToFit="false"/>
      <protection locked="true" hidden="false"/>
    </xf>
    <xf numFmtId="166" fontId="8" fillId="0" borderId="1" xfId="0" applyFont="true" applyBorder="true" applyAlignment="true" applyProtection="false">
      <alignment horizontal="left" vertical="bottom" textRotation="0" wrapText="false" indent="0" shrinkToFit="false"/>
      <protection locked="true" hidden="false"/>
    </xf>
    <xf numFmtId="166" fontId="10" fillId="0" borderId="1" xfId="0" applyFont="true" applyBorder="true" applyAlignment="true" applyProtection="false">
      <alignment horizontal="left"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true" applyProtection="false">
      <alignment horizontal="left" vertical="bottom" textRotation="0" wrapText="false" indent="0" shrinkToFit="false"/>
      <protection locked="true" hidden="false"/>
    </xf>
    <xf numFmtId="164" fontId="12" fillId="0" borderId="2" xfId="0" applyFont="true" applyBorder="true" applyAlignment="false" applyProtection="false">
      <alignment horizontal="general" vertical="bottom" textRotation="0" wrapText="false" indent="0" shrinkToFit="false"/>
      <protection locked="true" hidden="false"/>
    </xf>
    <xf numFmtId="164" fontId="13" fillId="2" borderId="1" xfId="0" applyFont="true" applyBorder="true" applyAlignment="false" applyProtection="false">
      <alignment horizontal="general" vertical="bottom" textRotation="0" wrapText="false" indent="0" shrinkToFit="false"/>
      <protection locked="true" hidden="false"/>
    </xf>
    <xf numFmtId="164" fontId="9" fillId="6" borderId="1" xfId="0" applyFont="true" applyBorder="true" applyAlignment="true" applyProtection="false">
      <alignment horizontal="center" vertical="bottom" textRotation="0" wrapText="false" indent="0" shrinkToFit="false"/>
      <protection locked="true" hidden="false"/>
    </xf>
    <xf numFmtId="164" fontId="9" fillId="6" borderId="2"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8" fontId="8" fillId="0" borderId="2" xfId="0" applyFont="true" applyBorder="true" applyAlignment="true" applyProtection="false">
      <alignment horizontal="left" vertical="bottom" textRotation="0" wrapText="false" indent="0" shrinkToFit="false"/>
      <protection locked="true" hidden="false"/>
    </xf>
    <xf numFmtId="164" fontId="8" fillId="0" borderId="2" xfId="0" applyFont="true" applyBorder="true" applyAlignment="true" applyProtection="false">
      <alignment horizontal="left" vertical="bottom" textRotation="0" wrapText="false" indent="0" shrinkToFit="false"/>
      <protection locked="true" hidden="false"/>
    </xf>
    <xf numFmtId="164" fontId="10" fillId="7" borderId="1" xfId="0" applyFont="true" applyBorder="true" applyAlignment="false" applyProtection="false">
      <alignment horizontal="general" vertical="bottom" textRotation="0" wrapText="false" indent="0" shrinkToFit="false"/>
      <protection locked="true" hidden="false"/>
    </xf>
    <xf numFmtId="164" fontId="14" fillId="0" borderId="2" xfId="0" applyFont="true" applyBorder="true" applyAlignment="false" applyProtection="false">
      <alignment horizontal="general" vertical="bottom" textRotation="0" wrapText="false" indent="0" shrinkToFit="false"/>
      <protection locked="true" hidden="false"/>
    </xf>
    <xf numFmtId="164" fontId="13" fillId="2" borderId="0" xfId="0" applyFont="true" applyBorder="true" applyAlignment="true" applyProtection="false">
      <alignment horizontal="general" vertical="center" textRotation="0" wrapText="tru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5" fillId="0" borderId="2"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3" fillId="2" borderId="1"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6" fillId="8"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9" fontId="9" fillId="6"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0" fillId="7" borderId="1" xfId="0" applyFont="true" applyBorder="true" applyAlignment="true" applyProtection="false">
      <alignment horizontal="center" vertical="bottom" textRotation="0" wrapText="false" indent="0" shrinkToFit="false"/>
      <protection locked="true" hidden="false"/>
    </xf>
    <xf numFmtId="169" fontId="10" fillId="7" borderId="1" xfId="0" applyFont="true" applyBorder="true" applyAlignment="false" applyProtection="false">
      <alignment horizontal="general" vertical="bottom" textRotation="0" wrapText="false" indent="0" shrinkToFit="false"/>
      <protection locked="true" hidden="false"/>
    </xf>
    <xf numFmtId="164" fontId="11" fillId="7"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9" fontId="10" fillId="0"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4" fontId="5" fillId="5" borderId="1" xfId="0" applyFont="true" applyBorder="true" applyAlignment="true" applyProtection="false">
      <alignment horizontal="center" vertical="bottom" textRotation="0" wrapText="true" indent="0" shrinkToFit="false"/>
      <protection locked="true" hidden="false"/>
    </xf>
    <xf numFmtId="164" fontId="17" fillId="0" borderId="1" xfId="0" applyFont="true" applyBorder="true" applyAlignment="true" applyProtection="false">
      <alignment horizontal="center" vertical="bottom" textRotation="0" wrapText="false" indent="0" shrinkToFit="false"/>
      <protection locked="true" hidden="false"/>
    </xf>
    <xf numFmtId="170" fontId="9" fillId="6" borderId="1" xfId="0" applyFont="true" applyBorder="true" applyAlignment="false" applyProtection="false">
      <alignment horizontal="general" vertical="bottom" textRotation="0" wrapText="false" indent="0" shrinkToFit="false"/>
      <protection locked="true" hidden="false"/>
    </xf>
    <xf numFmtId="171" fontId="9" fillId="6" borderId="1" xfId="0" applyFont="tru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false" applyProtection="false">
      <alignment horizontal="general" vertical="bottom" textRotation="0" wrapText="false" indent="0" shrinkToFit="false"/>
      <protection locked="true" hidden="false"/>
    </xf>
    <xf numFmtId="164" fontId="19" fillId="6" borderId="1" xfId="0" applyFont="true" applyBorder="true" applyAlignment="false" applyProtection="false">
      <alignment horizontal="general" vertical="bottom" textRotation="0" wrapText="false" indent="0" shrinkToFit="false"/>
      <protection locked="true" hidden="false"/>
    </xf>
    <xf numFmtId="172" fontId="8" fillId="0" borderId="1"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73" fontId="10" fillId="0" borderId="1" xfId="0" applyFont="true" applyBorder="true" applyAlignment="false" applyProtection="false">
      <alignment horizontal="general" vertical="bottom" textRotation="0" wrapText="false" indent="0" shrinkToFit="false"/>
      <protection locked="true" hidden="false"/>
    </xf>
    <xf numFmtId="174" fontId="9" fillId="6" borderId="1" xfId="0" applyFont="true" applyBorder="true" applyAlignment="false" applyProtection="false">
      <alignment horizontal="general" vertical="bottom" textRotation="0" wrapText="false" indent="0" shrinkToFit="false"/>
      <protection locked="true" hidden="false"/>
    </xf>
    <xf numFmtId="174" fontId="10" fillId="0" borderId="1" xfId="0" applyFont="true" applyBorder="true" applyAlignment="false" applyProtection="false">
      <alignment horizontal="general" vertical="bottom" textRotation="0" wrapText="false" indent="0" shrinkToFit="false"/>
      <protection locked="true" hidden="false"/>
    </xf>
    <xf numFmtId="175" fontId="9" fillId="6" borderId="1" xfId="0" applyFont="true" applyBorder="true" applyAlignment="false" applyProtection="false">
      <alignment horizontal="general" vertical="bottom" textRotation="0" wrapText="false" indent="0" shrinkToFit="false"/>
      <protection locked="true" hidden="false"/>
    </xf>
    <xf numFmtId="167" fontId="9" fillId="6" borderId="1" xfId="0" applyFont="true" applyBorder="true" applyAlignment="false" applyProtection="false">
      <alignment horizontal="general" vertical="bottom" textRotation="0" wrapText="false" indent="0" shrinkToFit="false"/>
      <protection locked="true" hidden="false"/>
    </xf>
    <xf numFmtId="164" fontId="11" fillId="7" borderId="1" xfId="0" applyFont="true" applyBorder="true" applyAlignment="true" applyProtection="false">
      <alignment horizontal="general" vertical="top" textRotation="0" wrapText="true" indent="0" shrinkToFit="false"/>
      <protection locked="true" hidden="false"/>
    </xf>
    <xf numFmtId="167" fontId="10" fillId="7" borderId="1" xfId="0" applyFont="true" applyBorder="true" applyAlignment="false" applyProtection="false">
      <alignment horizontal="general" vertical="bottom" textRotation="0" wrapText="false" indent="0" shrinkToFit="false"/>
      <protection locked="true" hidden="false"/>
    </xf>
    <xf numFmtId="164" fontId="8" fillId="8"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74" fontId="8" fillId="0" borderId="1" xfId="0" applyFont="true" applyBorder="true" applyAlignment="false" applyProtection="false">
      <alignment horizontal="general" vertical="bottom" textRotation="0" wrapText="false" indent="0" shrinkToFit="false"/>
      <protection locked="true" hidden="false"/>
    </xf>
    <xf numFmtId="164" fontId="10" fillId="0" borderId="2" xfId="0" applyFont="true" applyBorder="true" applyAlignment="false" applyProtection="false">
      <alignment horizontal="general" vertical="bottom" textRotation="0" wrapText="false" indent="0" shrinkToFit="false"/>
      <protection locked="true" hidden="false"/>
    </xf>
    <xf numFmtId="164" fontId="5" fillId="5" borderId="1" xfId="0" applyFont="true" applyBorder="true" applyAlignment="false" applyProtection="false">
      <alignment horizontal="general" vertical="bottom" textRotation="0" wrapText="false" indent="0" shrinkToFit="false"/>
      <protection locked="true" hidden="false"/>
    </xf>
    <xf numFmtId="164" fontId="5" fillId="5" borderId="0" xfId="0" applyFont="true" applyBorder="true" applyAlignment="false" applyProtection="false">
      <alignment horizontal="general" vertical="bottom" textRotation="0" wrapText="false" indent="0" shrinkToFit="false"/>
      <protection locked="true" hidden="false"/>
    </xf>
    <xf numFmtId="164" fontId="11" fillId="0" borderId="2" xfId="0" applyFont="true" applyBorder="true" applyAlignment="false" applyProtection="false">
      <alignment horizontal="general" vertical="bottom" textRotation="0" wrapText="false" indent="0" shrinkToFit="false"/>
      <protection locked="true" hidden="false"/>
    </xf>
    <xf numFmtId="164" fontId="21" fillId="7" borderId="1" xfId="0" applyFont="true" applyBorder="true" applyAlignment="false" applyProtection="false">
      <alignment horizontal="general" vertical="bottom" textRotation="0" wrapText="false" indent="0" shrinkToFit="false"/>
      <protection locked="true" hidden="false"/>
    </xf>
    <xf numFmtId="167" fontId="21" fillId="7" borderId="1" xfId="0" applyFont="true" applyBorder="true" applyAlignment="false" applyProtection="false">
      <alignment horizontal="general" vertical="bottom" textRotation="0" wrapText="false" indent="0" shrinkToFit="false"/>
      <protection locked="true" hidden="false"/>
    </xf>
    <xf numFmtId="164" fontId="22" fillId="0" borderId="2" xfId="0" applyFont="true" applyBorder="true" applyAlignment="false" applyProtection="false">
      <alignment horizontal="general" vertical="bottom" textRotation="0" wrapText="false" indent="0" shrinkToFit="false"/>
      <protection locked="true" hidden="false"/>
    </xf>
    <xf numFmtId="164" fontId="23"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color rgb="FF006100"/>
      </font>
      <fill>
        <patternFill>
          <bgColor rgb="FFC6EFCE"/>
        </patternFill>
      </fill>
    </dxf>
    <dxf>
      <font>
        <b val="1"/>
        <color rgb="FF006100"/>
      </font>
      <fill>
        <patternFill>
          <bgColor rgb="FFC6EFCE"/>
        </patternFill>
      </fill>
    </dxf>
    <dxf>
      <font>
        <b val="1"/>
        <color rgb="FF9C0006"/>
      </font>
      <fill>
        <patternFill>
          <bgColor rgb="FFFFC7CE"/>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7F7F7F"/>
      <rgbColor rgb="FF9999FF"/>
      <rgbColor rgb="FF993366"/>
      <rgbColor rgb="FFFFF4C7"/>
      <rgbColor rgb="FFEDEDED"/>
      <rgbColor rgb="FF5B1A2C"/>
      <rgbColor rgb="FFFF8080"/>
      <rgbColor rgb="FF0066CC"/>
      <rgbColor rgb="FFF3EAD8"/>
      <rgbColor rgb="FF000080"/>
      <rgbColor rgb="FFFF00FF"/>
      <rgbColor rgb="FFFFFF00"/>
      <rgbColor rgb="FF00FFFF"/>
      <rgbColor rgb="FF800080"/>
      <rgbColor rgb="FF800000"/>
      <rgbColor rgb="FF008080"/>
      <rgbColor rgb="FF0000FF"/>
      <rgbColor rgb="FF00CCFF"/>
      <rgbColor rgb="FFF7F7F7"/>
      <rgbColor rgb="FFC6EFCE"/>
      <rgbColor rgb="FFFDEBD0"/>
      <rgbColor rgb="FF99CCFF"/>
      <rgbColor rgb="FFFF99CC"/>
      <rgbColor rgb="FFCC99FF"/>
      <rgbColor rgb="FFFFC7CE"/>
      <rgbColor rgb="FF3366FF"/>
      <rgbColor rgb="FF33CCCC"/>
      <rgbColor rgb="FF99CC00"/>
      <rgbColor rgb="FFFFCC00"/>
      <rgbColor rgb="FFFF9900"/>
      <rgbColor rgb="FFFF6600"/>
      <rgbColor rgb="FF595959"/>
      <rgbColor rgb="FF969696"/>
      <rgbColor rgb="FF003366"/>
      <rgbColor rgb="FF339966"/>
      <rgbColor rgb="FF003300"/>
      <rgbColor rgb="FF333300"/>
      <rgbColor rgb="FF7A4B00"/>
      <rgbColor rgb="FF993366"/>
      <rgbColor rgb="FF1F3A93"/>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1A2C"/>
    <pageSetUpPr fitToPage="true"/>
  </sheetPr>
  <dimension ref="A1:D5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0" width="72"/>
    <col collapsed="false" customWidth="true" hidden="false" outlineLevel="0" max="2" min="2" style="0" width="30"/>
    <col collapsed="false" customWidth="true" hidden="false" outlineLevel="0" max="3" min="3" style="0" width="22"/>
    <col collapsed="false" customWidth="true" hidden="false" outlineLevel="0" max="4" min="4" style="0" width="52"/>
  </cols>
  <sheetData>
    <row r="1" customFormat="false" ht="30" hidden="false" customHeight="true" outlineLevel="0" collapsed="false">
      <c r="A1" s="1" t="s">
        <v>0</v>
      </c>
      <c r="B1" s="1"/>
      <c r="C1" s="1"/>
      <c r="D1" s="1"/>
    </row>
    <row r="2" customFormat="false" ht="19.5" hidden="false" customHeight="true" outlineLevel="0" collapsed="false">
      <c r="A2" s="2" t="s">
        <v>1</v>
      </c>
      <c r="B2" s="2"/>
      <c r="C2" s="2"/>
      <c r="D2" s="2"/>
    </row>
    <row r="3" customFormat="false" ht="30" hidden="false" customHeight="true" outlineLevel="0" collapsed="false">
      <c r="A3" s="3" t="s">
        <v>2</v>
      </c>
      <c r="B3" s="3"/>
      <c r="C3" s="3"/>
      <c r="D3" s="3"/>
    </row>
    <row r="4" customFormat="false" ht="18" hidden="false" customHeight="true" outlineLevel="0" collapsed="false">
      <c r="A4" s="4" t="s">
        <v>3</v>
      </c>
      <c r="B4" s="4"/>
      <c r="C4" s="4"/>
      <c r="D4" s="4"/>
    </row>
    <row r="6" customFormat="false" ht="15" hidden="false" customHeight="true" outlineLevel="0" collapsed="false">
      <c r="A6" s="5" t="s">
        <v>4</v>
      </c>
      <c r="B6" s="5"/>
      <c r="C6" s="5"/>
      <c r="D6" s="5"/>
    </row>
    <row r="7" customFormat="false" ht="15" hidden="false" customHeight="false" outlineLevel="0" collapsed="false">
      <c r="A7" s="6" t="s">
        <v>5</v>
      </c>
      <c r="B7" s="7" t="s">
        <v>6</v>
      </c>
    </row>
    <row r="8" customFormat="false" ht="15" hidden="false" customHeight="false" outlineLevel="0" collapsed="false">
      <c r="A8" s="6" t="s">
        <v>7</v>
      </c>
      <c r="B8" s="7" t="s">
        <v>8</v>
      </c>
    </row>
    <row r="9" customFormat="false" ht="15" hidden="false" customHeight="false" outlineLevel="0" collapsed="false">
      <c r="A9" s="6" t="s">
        <v>9</v>
      </c>
      <c r="B9" s="7" t="s">
        <v>10</v>
      </c>
    </row>
    <row r="10" customFormat="false" ht="15" hidden="false" customHeight="false" outlineLevel="0" collapsed="false">
      <c r="A10" s="6" t="s">
        <v>11</v>
      </c>
      <c r="B10" s="7" t="s">
        <v>12</v>
      </c>
    </row>
    <row r="11" customFormat="false" ht="15" hidden="false" customHeight="false" outlineLevel="0" collapsed="false">
      <c r="A11" s="6" t="s">
        <v>13</v>
      </c>
      <c r="B11" s="7" t="s">
        <v>14</v>
      </c>
    </row>
    <row r="12" customFormat="false" ht="15" hidden="false" customHeight="false" outlineLevel="0" collapsed="false">
      <c r="A12" s="6" t="s">
        <v>15</v>
      </c>
      <c r="B12" s="7" t="s">
        <v>16</v>
      </c>
    </row>
    <row r="13" customFormat="false" ht="15" hidden="false" customHeight="false" outlineLevel="0" collapsed="false">
      <c r="A13" s="6" t="s">
        <v>17</v>
      </c>
      <c r="B13" s="7" t="s">
        <v>18</v>
      </c>
    </row>
    <row r="15" customFormat="false" ht="15" hidden="false" customHeight="true" outlineLevel="0" collapsed="false">
      <c r="A15" s="5" t="s">
        <v>19</v>
      </c>
      <c r="B15" s="5"/>
      <c r="C15" s="5"/>
      <c r="D15" s="5"/>
    </row>
    <row r="16" customFormat="false" ht="15" hidden="false" customHeight="false" outlineLevel="0" collapsed="false">
      <c r="A16" s="6" t="s">
        <v>20</v>
      </c>
      <c r="B16" s="8" t="n">
        <v>2026</v>
      </c>
    </row>
    <row r="17" customFormat="false" ht="15" hidden="false" customHeight="false" outlineLevel="0" collapsed="false">
      <c r="A17" s="6" t="s">
        <v>21</v>
      </c>
      <c r="B17" s="7" t="s">
        <v>22</v>
      </c>
    </row>
    <row r="18" customFormat="false" ht="15" hidden="false" customHeight="false" outlineLevel="0" collapsed="false">
      <c r="A18" s="6" t="s">
        <v>23</v>
      </c>
      <c r="B18" s="7" t="s">
        <v>24</v>
      </c>
    </row>
    <row r="19" customFormat="false" ht="15" hidden="false" customHeight="false" outlineLevel="0" collapsed="false">
      <c r="A19" s="6" t="s">
        <v>25</v>
      </c>
      <c r="B19" s="7" t="s">
        <v>24</v>
      </c>
    </row>
    <row r="20" customFormat="false" ht="15" hidden="false" customHeight="false" outlineLevel="0" collapsed="false">
      <c r="A20" s="6" t="s">
        <v>26</v>
      </c>
      <c r="B20" s="9" t="n">
        <f aca="false">IF(B17="Annual",DATE(B16,1,1),DATE(B16,(VALUE(RIGHT(B17,1))-1)*3+1,1))</f>
        <v>46204</v>
      </c>
    </row>
    <row r="21" customFormat="false" ht="15" hidden="false" customHeight="false" outlineLevel="0" collapsed="false">
      <c r="A21" s="6" t="s">
        <v>27</v>
      </c>
      <c r="B21" s="9" t="n">
        <f aca="false">IF(B17="Annual",DATE(B16,12,31),EOMONTH(DATE(B16,VALUE(RIGHT(B17,1))*3,1),0))</f>
        <v>46295</v>
      </c>
    </row>
    <row r="22" customFormat="false" ht="15" hidden="false" customHeight="false" outlineLevel="0" collapsed="false">
      <c r="A22" s="6" t="s">
        <v>28</v>
      </c>
      <c r="B22" s="10" t="n">
        <f aca="false">B21+15</f>
        <v>46310</v>
      </c>
      <c r="C22" s="11" t="s">
        <v>29</v>
      </c>
    </row>
    <row r="23" customFormat="false" ht="15" hidden="false" customHeight="false" outlineLevel="0" collapsed="false">
      <c r="A23" s="6" t="s">
        <v>30</v>
      </c>
      <c r="B23" s="10" t="n">
        <f aca="false">IF(B19="Semimonthly","See TTB semimonthly schedule",IF(B19="Annual",DATE(B16+1,1,14),B21+14))</f>
        <v>46309</v>
      </c>
      <c r="C23" s="11" t="s">
        <v>31</v>
      </c>
    </row>
    <row r="24" customFormat="false" ht="15" hidden="false" customHeight="false" outlineLevel="0" collapsed="false">
      <c r="A24" s="6" t="s">
        <v>32</v>
      </c>
      <c r="B24" s="12" t="n">
        <f aca="false">'4_Excise_&amp;_CBMA_5000_24'!B70</f>
        <v>227.36</v>
      </c>
    </row>
    <row r="25" customFormat="false" ht="15" hidden="false" customHeight="false" outlineLevel="0" collapsed="false">
      <c r="A25" s="6" t="s">
        <v>33</v>
      </c>
      <c r="B25" s="13" t="str">
        <f aca="false">IF(B24*IF(B17="Annual",1,4)&lt;=1000,"Annual 5000.24 filing may be available (≤ $1,000 tax per year; due Jan 14)",IF(B24*IF(B17="Annual",1,4)&lt;=50000,"Quarterly 5000.24 filing available (≤ $50,000 per year)","Semimonthly filing likely required"))</f>
        <v>Annual 5000.24 filing may be available (≤ $1,000 tax per year; due Jan 14)</v>
      </c>
      <c r="C25" s="13"/>
      <c r="D25" s="13"/>
    </row>
    <row r="27" customFormat="false" ht="15" hidden="false" customHeight="true" outlineLevel="0" collapsed="false">
      <c r="A27" s="5" t="s">
        <v>34</v>
      </c>
      <c r="B27" s="5"/>
      <c r="C27" s="5"/>
      <c r="D27" s="5"/>
    </row>
    <row r="28" customFormat="false" ht="15" hidden="false" customHeight="false" outlineLevel="0" collapsed="false">
      <c r="A28" s="14" t="s">
        <v>35</v>
      </c>
      <c r="B28" s="14" t="s">
        <v>36</v>
      </c>
      <c r="C28" s="14" t="s">
        <v>37</v>
      </c>
      <c r="D28" s="14"/>
    </row>
    <row r="29" customFormat="false" ht="15" hidden="false" customHeight="false" outlineLevel="0" collapsed="false">
      <c r="A29" s="6" t="s">
        <v>38</v>
      </c>
      <c r="B29" s="15" t="s">
        <v>39</v>
      </c>
      <c r="C29" s="16"/>
      <c r="D29" s="16"/>
    </row>
    <row r="30" customFormat="false" ht="15" hidden="false" customHeight="false" outlineLevel="0" collapsed="false">
      <c r="A30" s="6" t="s">
        <v>40</v>
      </c>
      <c r="B30" s="15" t="s">
        <v>39</v>
      </c>
      <c r="C30" s="16"/>
      <c r="D30" s="16"/>
    </row>
    <row r="31" customFormat="false" ht="15" hidden="false" customHeight="false" outlineLevel="0" collapsed="false">
      <c r="A31" s="6" t="s">
        <v>41</v>
      </c>
      <c r="B31" s="15" t="s">
        <v>39</v>
      </c>
      <c r="C31" s="16"/>
      <c r="D31" s="16"/>
    </row>
    <row r="32" customFormat="false" ht="15" hidden="false" customHeight="false" outlineLevel="0" collapsed="false">
      <c r="A32" s="6" t="s">
        <v>42</v>
      </c>
      <c r="B32" s="15" t="s">
        <v>39</v>
      </c>
      <c r="C32" s="16"/>
      <c r="D32" s="16"/>
    </row>
    <row r="33" customFormat="false" ht="15" hidden="false" customHeight="false" outlineLevel="0" collapsed="false">
      <c r="A33" s="6" t="s">
        <v>43</v>
      </c>
      <c r="B33" s="15" t="s">
        <v>39</v>
      </c>
      <c r="C33" s="16"/>
      <c r="D33" s="16"/>
    </row>
    <row r="34" customFormat="false" ht="15" hidden="false" customHeight="false" outlineLevel="0" collapsed="false">
      <c r="A34" s="6" t="s">
        <v>44</v>
      </c>
      <c r="B34" s="15" t="s">
        <v>39</v>
      </c>
      <c r="C34" s="16"/>
      <c r="D34" s="16"/>
    </row>
    <row r="35" customFormat="false" ht="15" hidden="false" customHeight="false" outlineLevel="0" collapsed="false">
      <c r="A35" s="6" t="s">
        <v>45</v>
      </c>
      <c r="B35" s="15" t="s">
        <v>39</v>
      </c>
      <c r="C35" s="16"/>
      <c r="D35" s="16"/>
    </row>
    <row r="36" customFormat="false" ht="15" hidden="false" customHeight="false" outlineLevel="0" collapsed="false">
      <c r="A36" s="6" t="s">
        <v>46</v>
      </c>
      <c r="B36" s="15" t="s">
        <v>39</v>
      </c>
      <c r="C36" s="16"/>
      <c r="D36" s="16"/>
    </row>
    <row r="37" customFormat="false" ht="15" hidden="false" customHeight="false" outlineLevel="0" collapsed="false">
      <c r="A37" s="6" t="s">
        <v>47</v>
      </c>
      <c r="B37" s="15" t="s">
        <v>39</v>
      </c>
      <c r="C37" s="16"/>
      <c r="D37" s="16"/>
    </row>
    <row r="38" customFormat="false" ht="15" hidden="false" customHeight="false" outlineLevel="0" collapsed="false">
      <c r="A38" s="6" t="s">
        <v>48</v>
      </c>
      <c r="B38" s="15" t="s">
        <v>39</v>
      </c>
      <c r="C38" s="16"/>
      <c r="D38" s="16"/>
    </row>
    <row r="39" customFormat="false" ht="15" hidden="false" customHeight="false" outlineLevel="0" collapsed="false">
      <c r="A39" s="6" t="s">
        <v>49</v>
      </c>
      <c r="B39" s="15" t="s">
        <v>39</v>
      </c>
      <c r="C39" s="16"/>
      <c r="D39" s="16"/>
    </row>
    <row r="40" customFormat="false" ht="15" hidden="false" customHeight="false" outlineLevel="0" collapsed="false">
      <c r="A40" s="6" t="s">
        <v>50</v>
      </c>
      <c r="B40" s="15" t="s">
        <v>51</v>
      </c>
      <c r="C40" s="16"/>
      <c r="D40" s="16"/>
    </row>
    <row r="42" customFormat="false" ht="15" hidden="false" customHeight="true" outlineLevel="0" collapsed="false">
      <c r="A42" s="5" t="s">
        <v>52</v>
      </c>
      <c r="B42" s="5"/>
      <c r="C42" s="5"/>
      <c r="D42" s="5"/>
    </row>
    <row r="43" customFormat="false" ht="15" hidden="false" customHeight="false" outlineLevel="0" collapsed="false">
      <c r="A43" s="14" t="s">
        <v>53</v>
      </c>
      <c r="B43" s="14" t="s">
        <v>54</v>
      </c>
      <c r="C43" s="14" t="s">
        <v>55</v>
      </c>
      <c r="D43" s="14"/>
    </row>
    <row r="44" customFormat="false" ht="15" hidden="false" customHeight="false" outlineLevel="0" collapsed="false">
      <c r="A44" s="6" t="s">
        <v>56</v>
      </c>
      <c r="B44" s="17" t="str">
        <f aca="false">'2_Bulk_Wine_5120_17_SecA'!I45</f>
        <v>✓ PASS</v>
      </c>
      <c r="C44" s="18" t="n">
        <f aca="false">'2_Bulk_Wine_5120_17_SecA'!I44</f>
        <v>0</v>
      </c>
      <c r="D44" s="18"/>
    </row>
    <row r="45" customFormat="false" ht="15" hidden="false" customHeight="false" outlineLevel="0" collapsed="false">
      <c r="A45" s="6" t="s">
        <v>57</v>
      </c>
      <c r="B45" s="17" t="str">
        <f aca="false">'2_Bulk_Wine_5120_17_SecA'!I50</f>
        <v>✓ PASS</v>
      </c>
      <c r="C45" s="18" t="n">
        <f aca="false">'2_Bulk_Wine_5120_17_SecA'!I49</f>
        <v>0</v>
      </c>
      <c r="D45" s="18"/>
    </row>
    <row r="46" customFormat="false" ht="15" hidden="false" customHeight="false" outlineLevel="0" collapsed="false">
      <c r="A46" s="6" t="s">
        <v>58</v>
      </c>
      <c r="B46" s="17" t="str">
        <f aca="false">'3_Bottled_Wine_5120_17_SecB'!I37</f>
        <v>✓ PASS</v>
      </c>
      <c r="C46" s="18" t="n">
        <f aca="false">'3_Bottled_Wine_5120_17_SecB'!I36</f>
        <v>0</v>
      </c>
      <c r="D46" s="18"/>
    </row>
    <row r="47" customFormat="false" ht="15" hidden="false" customHeight="false" outlineLevel="0" collapsed="false">
      <c r="A47" s="6" t="s">
        <v>59</v>
      </c>
      <c r="B47" s="17" t="str">
        <f aca="false">'3_Bottled_Wine_5120_17_SecB'!I42</f>
        <v>✓ PASS</v>
      </c>
      <c r="C47" s="18" t="n">
        <f aca="false">'3_Bottled_Wine_5120_17_SecB'!I41</f>
        <v>0</v>
      </c>
      <c r="D47" s="18"/>
    </row>
    <row r="48" customFormat="false" ht="15" hidden="false" customHeight="false" outlineLevel="0" collapsed="false">
      <c r="A48" s="6" t="s">
        <v>60</v>
      </c>
      <c r="B48" s="17" t="str">
        <f aca="false">'3_Bottled_Wine_5120_17_SecB'!I39</f>
        <v>✓ PASS</v>
      </c>
      <c r="C48" s="18" t="n">
        <f aca="false">'3_Bottled_Wine_5120_17_SecB'!I38</f>
        <v>0</v>
      </c>
      <c r="D48" s="18"/>
    </row>
    <row r="49" customFormat="false" ht="15" hidden="false" customHeight="false" outlineLevel="0" collapsed="false">
      <c r="A49" s="6" t="s">
        <v>61</v>
      </c>
      <c r="B49" s="17" t="str">
        <f aca="false">'4_Excise_&amp;_CBMA_5000_24'!B54</f>
        <v>✓ PASS</v>
      </c>
      <c r="C49" s="18" t="n">
        <f aca="false">'4_Excise_&amp;_CBMA_5000_24'!B53</f>
        <v>0</v>
      </c>
      <c r="D49" s="18"/>
    </row>
    <row r="50" customFormat="false" ht="15" hidden="false" customHeight="false" outlineLevel="0" collapsed="false">
      <c r="A50" s="6" t="s">
        <v>62</v>
      </c>
      <c r="B50" s="17" t="str">
        <f aca="false">IF(COUNTIF(B29:B39,"Not started")+COUNTIF(B29:B39,"In progress")=0,"✓ PASS","OPEN")</f>
        <v>✓ PASS</v>
      </c>
      <c r="C50" s="19" t="str">
        <f aca="false">COUNTIF(B29:B39,"Done")+COUNTIF(B29:B39,"N/A")&amp;" of 11 tasks done or N/A (task 12 is the send step)"</f>
        <v>11 of 11 tasks done or N/A (task 12 is the send step)</v>
      </c>
      <c r="D50" s="19"/>
    </row>
    <row r="51" customFormat="false" ht="21.75" hidden="false" customHeight="true" outlineLevel="0" collapsed="false">
      <c r="A51" s="20" t="s">
        <v>63</v>
      </c>
      <c r="B51" s="21" t="str">
        <f aca="false">IF(COUNTIF(B44:B50,"✓ PASS")=7,"✓ READY TO SEND to Vintners Desk","✗ NOT READY: fix the items marked FAIL / OPEN above")</f>
        <v>✓ READY TO SEND to Vintners Desk</v>
      </c>
      <c r="C51" s="21"/>
      <c r="D51" s="21"/>
    </row>
    <row r="53" customFormat="false" ht="15" hidden="false" customHeight="true" outlineLevel="0" collapsed="false">
      <c r="A53" s="22" t="s">
        <v>64</v>
      </c>
      <c r="B53" s="22"/>
      <c r="C53" s="22"/>
      <c r="D53" s="22"/>
    </row>
    <row r="54" customFormat="false" ht="15" hidden="false" customHeight="false" outlineLevel="0" collapsed="false">
      <c r="A54" s="6" t="s">
        <v>65</v>
      </c>
      <c r="B54" s="23" t="str">
        <f aca="false">SUBSTITUTE(SUBSTITUTE(B7," (SAMPLE)","")," ","-")&amp;"_"&amp;B16&amp;"-"&amp;B17&amp;"_TTB-Workbook.xlsx"</f>
        <v>Oak-Hollow-Cellars_2026-Q3_TTB-Workbook.xlsx</v>
      </c>
      <c r="C54" s="23"/>
      <c r="D54" s="23"/>
    </row>
    <row r="55" customFormat="false" ht="15" hidden="false" customHeight="false" outlineLevel="0" collapsed="false">
      <c r="A55" s="6" t="s">
        <v>66</v>
      </c>
      <c r="B55" s="24" t="s">
        <v>67</v>
      </c>
      <c r="C55" s="24"/>
      <c r="D55" s="24"/>
    </row>
    <row r="56" customFormat="false" ht="15" hidden="false" customHeight="false" outlineLevel="0" collapsed="false">
      <c r="A56" s="6" t="s">
        <v>68</v>
      </c>
      <c r="B56" s="23" t="str">
        <f aca="false">"Template Review – "&amp;B7&amp;" – "&amp;B17&amp;" "&amp;B16</f>
        <v>Template Review – Oak Hollow Cellars (SAMPLE) – Q3 2026</v>
      </c>
      <c r="C56" s="23"/>
      <c r="D56" s="23"/>
    </row>
    <row r="57" customFormat="false" ht="43.5" hidden="false" customHeight="true" outlineLevel="0" collapsed="false">
      <c r="A57" s="25" t="s">
        <v>69</v>
      </c>
      <c r="B57" s="25"/>
      <c r="C57" s="25"/>
      <c r="D57" s="25"/>
    </row>
    <row r="58" customFormat="false" ht="43.5" hidden="false" customHeight="true" outlineLevel="0" collapsed="false">
      <c r="A58" s="25" t="s">
        <v>70</v>
      </c>
      <c r="B58" s="25"/>
      <c r="C58" s="25"/>
      <c r="D58" s="25"/>
    </row>
    <row r="59" customFormat="false" ht="43.5" hidden="false" customHeight="true" outlineLevel="0" collapsed="false">
      <c r="A59" s="25" t="s">
        <v>71</v>
      </c>
      <c r="B59" s="25"/>
      <c r="C59" s="25"/>
      <c r="D59" s="25"/>
    </row>
  </sheetData>
  <mergeCells count="38">
    <mergeCell ref="A1:D1"/>
    <mergeCell ref="A2:D2"/>
    <mergeCell ref="A3:D3"/>
    <mergeCell ref="A4:D4"/>
    <mergeCell ref="A6:D6"/>
    <mergeCell ref="A15:D15"/>
    <mergeCell ref="B25:D25"/>
    <mergeCell ref="A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2:D42"/>
    <mergeCell ref="C43:D43"/>
    <mergeCell ref="C44:D44"/>
    <mergeCell ref="C45:D45"/>
    <mergeCell ref="C46:D46"/>
    <mergeCell ref="C47:D47"/>
    <mergeCell ref="C48:D48"/>
    <mergeCell ref="C49:D49"/>
    <mergeCell ref="C50:D50"/>
    <mergeCell ref="B51:D51"/>
    <mergeCell ref="A53:D53"/>
    <mergeCell ref="B54:D54"/>
    <mergeCell ref="B55:D55"/>
    <mergeCell ref="B56:D56"/>
    <mergeCell ref="A57:D57"/>
    <mergeCell ref="A58:D58"/>
    <mergeCell ref="A59:D59"/>
  </mergeCells>
  <conditionalFormatting sqref="B29:B40">
    <cfRule type="expression" priority="2" aboveAverage="0" equalAverage="0" bottom="0" percent="0" rank="0" text="" dxfId="0">
      <formula>B29="Done"</formula>
    </cfRule>
  </conditionalFormatting>
  <conditionalFormatting sqref="B44:B50">
    <cfRule type="expression" priority="3" aboveAverage="0" equalAverage="0" bottom="0" percent="0" rank="0" text="" dxfId="1">
      <formula>ISNUMBER(SEARCH("PASS",B44))</formula>
    </cfRule>
    <cfRule type="expression" priority="4" aboveAverage="0" equalAverage="0" bottom="0" percent="0" rank="0" text="" dxfId="2">
      <formula>OR(ISNUMBER(SEARCH("FAIL",B44)),ISNUMBER(SEARCH("NOT READY",B44)),ISNUMBER(SEARCH("OPEN",B44)))</formula>
    </cfRule>
    <cfRule type="expression" priority="5" aboveAverage="0" equalAverage="0" bottom="0" percent="0" rank="0" text="" dxfId="1">
      <formula>ISNUMBER(SEARCH("READY TO SEND",B44))</formula>
    </cfRule>
  </conditionalFormatting>
  <conditionalFormatting sqref="B51">
    <cfRule type="expression" priority="6" aboveAverage="0" equalAverage="0" bottom="0" percent="0" rank="0" text="" dxfId="1">
      <formula>ISNUMBER(SEARCH("PASS",B51))</formula>
    </cfRule>
    <cfRule type="expression" priority="7" aboveAverage="0" equalAverage="0" bottom="0" percent="0" rank="0" text="" dxfId="2">
      <formula>OR(ISNUMBER(SEARCH("FAIL",B51)),ISNUMBER(SEARCH("NOT READY",B51)),ISNUMBER(SEARCH("OPEN",B51)))</formula>
    </cfRule>
    <cfRule type="expression" priority="8" aboveAverage="0" equalAverage="0" bottom="0" percent="0" rank="0" text="" dxfId="1">
      <formula>ISNUMBER(SEARCH("READY TO SEND",B51))</formula>
    </cfRule>
  </conditionalFormatting>
  <dataValidations count="4">
    <dataValidation allowBlank="false" errorStyle="stop" operator="between" showDropDown="false" showErrorMessage="false" showInputMessage="false" sqref="B17" type="list">
      <formula1>"Q1,Q2,Q3,Q4,Annual"</formula1>
      <formula2>0</formula2>
    </dataValidation>
    <dataValidation allowBlank="false" errorStyle="stop" operator="between" showDropDown="false" showErrorMessage="false" showInputMessage="false" sqref="B18" type="list">
      <formula1>"Monthly,Quarterly,Annual"</formula1>
      <formula2>0</formula2>
    </dataValidation>
    <dataValidation allowBlank="false" errorStyle="stop" operator="between" showDropDown="false" showErrorMessage="false" showInputMessage="false" sqref="B19" type="list">
      <formula1>"Semimonthly,Quarterly,Annual"</formula1>
      <formula2>0</formula2>
    </dataValidation>
    <dataValidation allowBlank="false" errorStyle="stop" operator="between" showDropDown="false" showErrorMessage="false" showInputMessage="false" sqref="B29:B40" type="list">
      <formula1>"Not started,In progress,Done,N/A"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1A2C"/>
    <pageSetUpPr fitToPage="true"/>
  </sheetPr>
  <dimension ref="A1:J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7"/>
    <col collapsed="false" customWidth="true" hidden="false" outlineLevel="0" max="2" min="2" style="0" width="46"/>
    <col collapsed="false" customWidth="true" hidden="false" outlineLevel="0" max="5" min="3" style="0" width="14"/>
    <col collapsed="false" customWidth="true" hidden="false" outlineLevel="0" max="6" min="6" style="0" width="15"/>
    <col collapsed="false" customWidth="true" hidden="false" outlineLevel="0" max="9" min="7" style="0" width="14"/>
    <col collapsed="false" customWidth="true" hidden="false" outlineLevel="0" max="10" min="10" style="0" width="62"/>
  </cols>
  <sheetData>
    <row r="1" customFormat="false" ht="30" hidden="false" customHeight="true" outlineLevel="0" collapsed="false">
      <c r="A1" s="1" t="s">
        <v>0</v>
      </c>
      <c r="B1" s="1"/>
      <c r="C1" s="1"/>
      <c r="D1" s="1"/>
      <c r="E1" s="1"/>
      <c r="F1" s="1"/>
      <c r="G1" s="1"/>
      <c r="H1" s="1"/>
      <c r="I1" s="1"/>
      <c r="J1" s="1"/>
    </row>
    <row r="2" customFormat="false" ht="19.5" hidden="false" customHeight="true" outlineLevel="0" collapsed="false">
      <c r="A2" s="2" t="str">
        <f aca="false">"TTB F 5120.17, Part I, Section A: Bulk Wines (wine gallons)  ·  "&amp;'1_Winery_Info_&amp;_Checklist'!$B$7&amp;"  ·  Registry "&amp;'1_Winery_Info_&amp;_Checklist'!$B$9&amp;"  ·  "&amp;'1_Winery_Info_&amp;_Checklist'!$B$17&amp;" "&amp;'1_Winery_Info_&amp;_Checklist'!$B$16</f>
        <v>TTB F 5120.17, Part I, Section A: Bulk Wines (wine gallons)  ·  Oak Hollow Cellars (SAMPLE)  ·  Registry BW-CA-00000 (SAMPLE)  ·  Q3 2026</v>
      </c>
      <c r="B2" s="2"/>
      <c r="C2" s="2"/>
      <c r="D2" s="2"/>
      <c r="E2" s="2"/>
      <c r="F2" s="2"/>
      <c r="G2" s="2"/>
      <c r="H2" s="2"/>
      <c r="I2" s="2"/>
      <c r="J2" s="2"/>
    </row>
    <row r="3" customFormat="false" ht="30" hidden="false" customHeight="true" outlineLevel="0" collapsed="false">
      <c r="A3" s="3" t="s">
        <v>2</v>
      </c>
      <c r="B3" s="3"/>
      <c r="C3" s="3"/>
      <c r="D3" s="3"/>
      <c r="E3" s="3"/>
      <c r="F3" s="3"/>
      <c r="G3" s="3"/>
      <c r="H3" s="3"/>
      <c r="I3" s="3"/>
      <c r="J3" s="3"/>
    </row>
    <row r="4" customFormat="false" ht="18" hidden="false" customHeight="true" outlineLevel="0" collapsed="false">
      <c r="A4" s="4" t="s">
        <v>3</v>
      </c>
      <c r="B4" s="4"/>
      <c r="C4" s="4"/>
      <c r="D4" s="4"/>
      <c r="E4" s="4"/>
      <c r="F4" s="4"/>
      <c r="G4" s="4"/>
      <c r="H4" s="4"/>
      <c r="I4" s="4"/>
      <c r="J4" s="4"/>
    </row>
    <row r="6" customFormat="false" ht="31.5" hidden="false" customHeight="true" outlineLevel="0" collapsed="false">
      <c r="A6" s="26" t="s">
        <v>72</v>
      </c>
      <c r="B6" s="26" t="s">
        <v>73</v>
      </c>
      <c r="C6" s="26" t="s">
        <v>74</v>
      </c>
      <c r="D6" s="26" t="s">
        <v>75</v>
      </c>
      <c r="E6" s="26" t="s">
        <v>76</v>
      </c>
      <c r="F6" s="26" t="s">
        <v>77</v>
      </c>
      <c r="G6" s="26" t="s">
        <v>78</v>
      </c>
      <c r="H6" s="26" t="s">
        <v>79</v>
      </c>
      <c r="I6" s="26" t="s">
        <v>80</v>
      </c>
      <c r="J6" s="26" t="s">
        <v>81</v>
      </c>
    </row>
    <row r="7" customFormat="false" ht="15" hidden="false" customHeight="false" outlineLevel="0" collapsed="false">
      <c r="B7" s="27" t="s">
        <v>82</v>
      </c>
      <c r="C7" s="28" t="s">
        <v>83</v>
      </c>
      <c r="D7" s="28" t="s">
        <v>84</v>
      </c>
      <c r="E7" s="28" t="s">
        <v>85</v>
      </c>
      <c r="F7" s="28" t="s">
        <v>86</v>
      </c>
      <c r="G7" s="28" t="s">
        <v>87</v>
      </c>
      <c r="H7" s="28" t="s">
        <v>88</v>
      </c>
    </row>
    <row r="8" customFormat="false" ht="15" hidden="false" customHeight="true" outlineLevel="0" collapsed="false">
      <c r="A8" s="5" t="s">
        <v>89</v>
      </c>
      <c r="B8" s="5"/>
      <c r="C8" s="5"/>
      <c r="D8" s="5"/>
      <c r="E8" s="5"/>
      <c r="F8" s="5"/>
      <c r="G8" s="5"/>
      <c r="H8" s="5"/>
      <c r="I8" s="5"/>
      <c r="J8" s="5"/>
    </row>
    <row r="9" customFormat="false" ht="15" hidden="false" customHeight="false" outlineLevel="0" collapsed="false">
      <c r="A9" s="29" t="n">
        <v>1</v>
      </c>
      <c r="B9" s="6" t="s">
        <v>90</v>
      </c>
      <c r="C9" s="30" t="n">
        <v>3150</v>
      </c>
      <c r="D9" s="30" t="n">
        <v>120</v>
      </c>
      <c r="E9" s="30" t="n">
        <v>0</v>
      </c>
      <c r="F9" s="30" t="n">
        <v>0</v>
      </c>
      <c r="G9" s="30" t="n">
        <v>60</v>
      </c>
      <c r="H9" s="30" t="n">
        <v>0</v>
      </c>
      <c r="I9" s="31" t="n">
        <f aca="false">SUM(C9:H9)</f>
        <v>3330</v>
      </c>
      <c r="J9" s="32" t="s">
        <v>91</v>
      </c>
    </row>
    <row r="10" customFormat="false" ht="15" hidden="false" customHeight="false" outlineLevel="0" collapsed="false">
      <c r="A10" s="29" t="n">
        <v>2</v>
      </c>
      <c r="B10" s="6" t="s">
        <v>92</v>
      </c>
      <c r="C10" s="30" t="n">
        <v>1200</v>
      </c>
      <c r="D10" s="30" t="n">
        <v>0</v>
      </c>
      <c r="E10" s="30" t="n">
        <v>0</v>
      </c>
      <c r="F10" s="30" t="n">
        <v>0</v>
      </c>
      <c r="G10" s="30" t="n">
        <v>0</v>
      </c>
      <c r="H10" s="30" t="n">
        <v>0</v>
      </c>
      <c r="I10" s="31" t="n">
        <f aca="false">SUM(C10:H10)</f>
        <v>1200</v>
      </c>
      <c r="J10" s="32" t="s">
        <v>93</v>
      </c>
    </row>
    <row r="11" customFormat="false" ht="15" hidden="false" customHeight="false" outlineLevel="0" collapsed="false">
      <c r="A11" s="29" t="n">
        <v>3</v>
      </c>
      <c r="B11" s="6" t="s">
        <v>94</v>
      </c>
      <c r="C11" s="30" t="n">
        <v>0</v>
      </c>
      <c r="D11" s="30" t="n">
        <v>0</v>
      </c>
      <c r="E11" s="30" t="n">
        <v>0</v>
      </c>
      <c r="F11" s="30" t="n">
        <v>0</v>
      </c>
      <c r="G11" s="30" t="n">
        <v>0</v>
      </c>
      <c r="H11" s="30" t="n">
        <v>0</v>
      </c>
      <c r="I11" s="31" t="n">
        <f aca="false">SUM(C11:H11)</f>
        <v>0</v>
      </c>
      <c r="J11" s="32" t="s">
        <v>95</v>
      </c>
    </row>
    <row r="12" customFormat="false" ht="15" hidden="false" customHeight="false" outlineLevel="0" collapsed="false">
      <c r="A12" s="29" t="n">
        <v>4</v>
      </c>
      <c r="B12" s="6" t="s">
        <v>96</v>
      </c>
      <c r="C12" s="30" t="n">
        <v>0</v>
      </c>
      <c r="D12" s="30" t="n">
        <v>0</v>
      </c>
      <c r="E12" s="30" t="n">
        <v>0</v>
      </c>
      <c r="F12" s="30" t="n">
        <v>0</v>
      </c>
      <c r="G12" s="30" t="n">
        <v>0</v>
      </c>
      <c r="H12" s="30" t="n">
        <v>0</v>
      </c>
      <c r="I12" s="31" t="n">
        <f aca="false">SUM(C12:H12)</f>
        <v>0</v>
      </c>
      <c r="J12" s="32" t="s">
        <v>97</v>
      </c>
    </row>
    <row r="13" customFormat="false" ht="15" hidden="false" customHeight="false" outlineLevel="0" collapsed="false">
      <c r="A13" s="29" t="n">
        <v>5</v>
      </c>
      <c r="B13" s="6" t="s">
        <v>98</v>
      </c>
      <c r="C13" s="30" t="n">
        <v>0</v>
      </c>
      <c r="D13" s="30" t="n">
        <v>0</v>
      </c>
      <c r="E13" s="30" t="n">
        <v>0</v>
      </c>
      <c r="F13" s="30" t="n">
        <v>0</v>
      </c>
      <c r="G13" s="30" t="n">
        <v>0</v>
      </c>
      <c r="H13" s="30" t="n">
        <v>0</v>
      </c>
      <c r="I13" s="31" t="n">
        <f aca="false">SUM(C13:H13)</f>
        <v>0</v>
      </c>
      <c r="J13" s="32" t="s">
        <v>99</v>
      </c>
    </row>
    <row r="14" customFormat="false" ht="15" hidden="false" customHeight="false" outlineLevel="0" collapsed="false">
      <c r="A14" s="29" t="n">
        <v>6</v>
      </c>
      <c r="B14" s="6" t="s">
        <v>100</v>
      </c>
      <c r="C14" s="30" t="n">
        <v>0</v>
      </c>
      <c r="D14" s="30" t="n">
        <v>0</v>
      </c>
      <c r="E14" s="30" t="n">
        <v>0</v>
      </c>
      <c r="F14" s="30" t="n">
        <v>0</v>
      </c>
      <c r="G14" s="30" t="n">
        <v>0</v>
      </c>
      <c r="H14" s="30" t="n">
        <v>0</v>
      </c>
      <c r="I14" s="31" t="n">
        <f aca="false">SUM(C14:H14)</f>
        <v>0</v>
      </c>
      <c r="J14" s="32" t="s">
        <v>101</v>
      </c>
    </row>
    <row r="15" customFormat="false" ht="15" hidden="false" customHeight="false" outlineLevel="0" collapsed="false">
      <c r="A15" s="29" t="n">
        <v>7</v>
      </c>
      <c r="B15" s="6" t="s">
        <v>102</v>
      </c>
      <c r="C15" s="30" t="n">
        <v>0</v>
      </c>
      <c r="D15" s="30" t="n">
        <v>0</v>
      </c>
      <c r="E15" s="30" t="n">
        <v>0</v>
      </c>
      <c r="F15" s="30" t="n">
        <v>0</v>
      </c>
      <c r="G15" s="30" t="n">
        <v>0</v>
      </c>
      <c r="H15" s="30" t="n">
        <v>0</v>
      </c>
      <c r="I15" s="31" t="n">
        <f aca="false">SUM(C15:H15)</f>
        <v>0</v>
      </c>
      <c r="J15" s="32" t="s">
        <v>103</v>
      </c>
    </row>
    <row r="16" customFormat="false" ht="15" hidden="false" customHeight="false" outlineLevel="0" collapsed="false">
      <c r="A16" s="29" t="n">
        <v>8</v>
      </c>
      <c r="B16" s="6" t="s">
        <v>104</v>
      </c>
      <c r="C16" s="30" t="n">
        <v>0</v>
      </c>
      <c r="D16" s="30" t="n">
        <v>0</v>
      </c>
      <c r="E16" s="30" t="n">
        <v>0</v>
      </c>
      <c r="F16" s="30" t="n">
        <v>0</v>
      </c>
      <c r="G16" s="30" t="n">
        <v>0</v>
      </c>
      <c r="H16" s="30" t="n">
        <v>0</v>
      </c>
      <c r="I16" s="31" t="n">
        <f aca="false">SUM(C16:H16)</f>
        <v>0</v>
      </c>
      <c r="J16" s="32" t="s">
        <v>105</v>
      </c>
    </row>
    <row r="17" customFormat="false" ht="15" hidden="false" customHeight="false" outlineLevel="0" collapsed="false">
      <c r="A17" s="29" t="n">
        <v>9</v>
      </c>
      <c r="B17" s="6" t="s">
        <v>106</v>
      </c>
      <c r="C17" s="30" t="n">
        <v>0</v>
      </c>
      <c r="D17" s="30" t="n">
        <v>0</v>
      </c>
      <c r="E17" s="30" t="n">
        <v>0</v>
      </c>
      <c r="F17" s="30" t="n">
        <v>0</v>
      </c>
      <c r="G17" s="30" t="n">
        <v>0</v>
      </c>
      <c r="H17" s="30" t="n">
        <v>0</v>
      </c>
      <c r="I17" s="31" t="n">
        <f aca="false">SUM(C17:H17)</f>
        <v>0</v>
      </c>
      <c r="J17" s="32" t="s">
        <v>107</v>
      </c>
    </row>
    <row r="18" customFormat="false" ht="15" hidden="false" customHeight="false" outlineLevel="0" collapsed="false">
      <c r="A18" s="29" t="n">
        <v>10</v>
      </c>
      <c r="B18" s="7" t="s">
        <v>108</v>
      </c>
      <c r="C18" s="30" t="n">
        <v>0</v>
      </c>
      <c r="D18" s="30" t="n">
        <v>0</v>
      </c>
      <c r="E18" s="30" t="n">
        <v>0</v>
      </c>
      <c r="F18" s="30" t="n">
        <v>0</v>
      </c>
      <c r="G18" s="30" t="n">
        <v>0</v>
      </c>
      <c r="H18" s="30" t="n">
        <v>0</v>
      </c>
      <c r="I18" s="31" t="n">
        <f aca="false">SUM(C18:H18)</f>
        <v>0</v>
      </c>
      <c r="J18" s="32" t="s">
        <v>109</v>
      </c>
    </row>
    <row r="19" customFormat="false" ht="15" hidden="false" customHeight="false" outlineLevel="0" collapsed="false">
      <c r="A19" s="29" t="n">
        <v>11</v>
      </c>
      <c r="B19" s="7" t="s">
        <v>110</v>
      </c>
      <c r="C19" s="30" t="n">
        <v>0</v>
      </c>
      <c r="D19" s="30" t="n">
        <v>0</v>
      </c>
      <c r="E19" s="30" t="n">
        <v>0</v>
      </c>
      <c r="F19" s="30" t="n">
        <v>0</v>
      </c>
      <c r="G19" s="30" t="n">
        <v>0</v>
      </c>
      <c r="H19" s="30" t="n">
        <v>0</v>
      </c>
      <c r="I19" s="31" t="n">
        <f aca="false">SUM(C19:H19)</f>
        <v>0</v>
      </c>
      <c r="J19" s="32" t="s">
        <v>109</v>
      </c>
    </row>
    <row r="20" customFormat="false" ht="15" hidden="false" customHeight="false" outlineLevel="0" collapsed="false">
      <c r="A20" s="33" t="n">
        <v>12</v>
      </c>
      <c r="B20" s="20" t="s">
        <v>111</v>
      </c>
      <c r="C20" s="34" t="n">
        <f aca="false">SUM(C9:C19)</f>
        <v>4350</v>
      </c>
      <c r="D20" s="34" t="n">
        <f aca="false">SUM(D9:D19)</f>
        <v>120</v>
      </c>
      <c r="E20" s="34" t="n">
        <f aca="false">SUM(E9:E19)</f>
        <v>0</v>
      </c>
      <c r="F20" s="34" t="n">
        <f aca="false">SUM(F9:F19)</f>
        <v>0</v>
      </c>
      <c r="G20" s="34" t="n">
        <f aca="false">SUM(G9:G19)</f>
        <v>60</v>
      </c>
      <c r="H20" s="34" t="n">
        <f aca="false">SUM(H9:H19)</f>
        <v>0</v>
      </c>
      <c r="I20" s="34" t="n">
        <f aca="false">SUM(I9:I19)</f>
        <v>4530</v>
      </c>
      <c r="J20" s="35" t="s">
        <v>112</v>
      </c>
    </row>
    <row r="21" customFormat="false" ht="15" hidden="false" customHeight="true" outlineLevel="0" collapsed="false">
      <c r="A21" s="5" t="s">
        <v>113</v>
      </c>
      <c r="B21" s="5"/>
      <c r="C21" s="5"/>
      <c r="D21" s="5"/>
      <c r="E21" s="5"/>
      <c r="F21" s="5"/>
      <c r="G21" s="5"/>
      <c r="H21" s="5"/>
      <c r="I21" s="5"/>
      <c r="J21" s="5"/>
    </row>
    <row r="22" customFormat="false" ht="15" hidden="false" customHeight="false" outlineLevel="0" collapsed="false">
      <c r="A22" s="29" t="n">
        <v>13</v>
      </c>
      <c r="B22" s="6" t="s">
        <v>114</v>
      </c>
      <c r="C22" s="30" t="n">
        <v>1450</v>
      </c>
      <c r="D22" s="30" t="n">
        <v>30</v>
      </c>
      <c r="E22" s="30" t="n">
        <v>0</v>
      </c>
      <c r="F22" s="30" t="n">
        <v>0</v>
      </c>
      <c r="G22" s="30" t="n">
        <v>60</v>
      </c>
      <c r="H22" s="30" t="n">
        <v>0</v>
      </c>
      <c r="I22" s="31" t="n">
        <f aca="false">SUM(C22:H22)</f>
        <v>1540</v>
      </c>
      <c r="J22" s="32" t="s">
        <v>115</v>
      </c>
    </row>
    <row r="23" customFormat="false" ht="15" hidden="false" customHeight="false" outlineLevel="0" collapsed="false">
      <c r="A23" s="29" t="n">
        <v>14</v>
      </c>
      <c r="B23" s="6" t="s">
        <v>116</v>
      </c>
      <c r="C23" s="30" t="n">
        <v>0</v>
      </c>
      <c r="D23" s="30" t="n">
        <v>0</v>
      </c>
      <c r="E23" s="30" t="n">
        <v>0</v>
      </c>
      <c r="F23" s="30" t="n">
        <v>0</v>
      </c>
      <c r="G23" s="30" t="n">
        <v>0</v>
      </c>
      <c r="H23" s="30" t="n">
        <v>0</v>
      </c>
      <c r="I23" s="31" t="n">
        <f aca="false">SUM(C23:H23)</f>
        <v>0</v>
      </c>
      <c r="J23" s="32" t="s">
        <v>117</v>
      </c>
    </row>
    <row r="24" customFormat="false" ht="15" hidden="false" customHeight="false" outlineLevel="0" collapsed="false">
      <c r="A24" s="29" t="n">
        <v>15</v>
      </c>
      <c r="B24" s="6" t="s">
        <v>118</v>
      </c>
      <c r="C24" s="30" t="n">
        <v>0</v>
      </c>
      <c r="D24" s="30" t="n">
        <v>0</v>
      </c>
      <c r="E24" s="30" t="n">
        <v>0</v>
      </c>
      <c r="F24" s="30" t="n">
        <v>0</v>
      </c>
      <c r="G24" s="30" t="n">
        <v>0</v>
      </c>
      <c r="H24" s="30" t="n">
        <v>0</v>
      </c>
      <c r="I24" s="31" t="n">
        <f aca="false">SUM(C24:H24)</f>
        <v>0</v>
      </c>
      <c r="J24" s="32" t="s">
        <v>119</v>
      </c>
    </row>
    <row r="25" customFormat="false" ht="15" hidden="false" customHeight="false" outlineLevel="0" collapsed="false">
      <c r="A25" s="29" t="n">
        <v>16</v>
      </c>
      <c r="B25" s="6" t="s">
        <v>120</v>
      </c>
      <c r="C25" s="30" t="n">
        <v>0</v>
      </c>
      <c r="D25" s="30" t="n">
        <v>0</v>
      </c>
      <c r="E25" s="30" t="n">
        <v>0</v>
      </c>
      <c r="F25" s="30" t="n">
        <v>0</v>
      </c>
      <c r="G25" s="30" t="n">
        <v>0</v>
      </c>
      <c r="H25" s="30" t="n">
        <v>0</v>
      </c>
      <c r="I25" s="31" t="n">
        <f aca="false">SUM(C25:H25)</f>
        <v>0</v>
      </c>
      <c r="J25" s="32"/>
    </row>
    <row r="26" customFormat="false" ht="15" hidden="false" customHeight="false" outlineLevel="0" collapsed="false">
      <c r="A26" s="29" t="n">
        <v>17</v>
      </c>
      <c r="B26" s="6" t="s">
        <v>121</v>
      </c>
      <c r="C26" s="30" t="n">
        <v>0</v>
      </c>
      <c r="D26" s="30" t="n">
        <v>0</v>
      </c>
      <c r="E26" s="30" t="n">
        <v>0</v>
      </c>
      <c r="F26" s="30" t="n">
        <v>0</v>
      </c>
      <c r="G26" s="30" t="n">
        <v>0</v>
      </c>
      <c r="H26" s="30" t="n">
        <v>0</v>
      </c>
      <c r="I26" s="31" t="n">
        <f aca="false">SUM(C26:H26)</f>
        <v>0</v>
      </c>
      <c r="J26" s="32"/>
    </row>
    <row r="27" customFormat="false" ht="15" hidden="false" customHeight="false" outlineLevel="0" collapsed="false">
      <c r="A27" s="29" t="n">
        <v>18</v>
      </c>
      <c r="B27" s="6" t="s">
        <v>122</v>
      </c>
      <c r="C27" s="30" t="n">
        <v>0</v>
      </c>
      <c r="D27" s="30" t="n">
        <v>0</v>
      </c>
      <c r="E27" s="30" t="n">
        <v>0</v>
      </c>
      <c r="F27" s="30" t="n">
        <v>0</v>
      </c>
      <c r="G27" s="30" t="n">
        <v>0</v>
      </c>
      <c r="H27" s="30" t="n">
        <v>0</v>
      </c>
      <c r="I27" s="31" t="n">
        <f aca="false">SUM(C27:H27)</f>
        <v>0</v>
      </c>
      <c r="J27" s="32" t="s">
        <v>123</v>
      </c>
    </row>
    <row r="28" customFormat="false" ht="15" hidden="false" customHeight="false" outlineLevel="0" collapsed="false">
      <c r="A28" s="29" t="n">
        <v>19</v>
      </c>
      <c r="B28" s="6" t="s">
        <v>124</v>
      </c>
      <c r="C28" s="30" t="n">
        <v>0</v>
      </c>
      <c r="D28" s="30" t="n">
        <v>0</v>
      </c>
      <c r="E28" s="30" t="n">
        <v>0</v>
      </c>
      <c r="F28" s="30" t="n">
        <v>0</v>
      </c>
      <c r="G28" s="30" t="n">
        <v>0</v>
      </c>
      <c r="H28" s="30" t="n">
        <v>0</v>
      </c>
      <c r="I28" s="31" t="n">
        <f aca="false">SUM(C28:H28)</f>
        <v>0</v>
      </c>
      <c r="J28" s="32" t="s">
        <v>125</v>
      </c>
    </row>
    <row r="29" customFormat="false" ht="15" hidden="false" customHeight="false" outlineLevel="0" collapsed="false">
      <c r="A29" s="29" t="n">
        <v>20</v>
      </c>
      <c r="B29" s="6" t="s">
        <v>126</v>
      </c>
      <c r="C29" s="30" t="n">
        <v>0</v>
      </c>
      <c r="D29" s="30" t="n">
        <v>0</v>
      </c>
      <c r="E29" s="30" t="n">
        <v>0</v>
      </c>
      <c r="F29" s="30" t="n">
        <v>0</v>
      </c>
      <c r="G29" s="30" t="n">
        <v>0</v>
      </c>
      <c r="H29" s="30" t="n">
        <v>0</v>
      </c>
      <c r="I29" s="31" t="n">
        <f aca="false">SUM(C29:H29)</f>
        <v>0</v>
      </c>
      <c r="J29" s="32" t="s">
        <v>127</v>
      </c>
    </row>
    <row r="30" customFormat="false" ht="15" hidden="false" customHeight="false" outlineLevel="0" collapsed="false">
      <c r="A30" s="29" t="n">
        <v>21</v>
      </c>
      <c r="B30" s="6" t="s">
        <v>128</v>
      </c>
      <c r="C30" s="30" t="n">
        <v>0</v>
      </c>
      <c r="D30" s="30" t="n">
        <v>0</v>
      </c>
      <c r="E30" s="30" t="n">
        <v>0</v>
      </c>
      <c r="F30" s="30" t="n">
        <v>0</v>
      </c>
      <c r="G30" s="30" t="n">
        <v>0</v>
      </c>
      <c r="H30" s="30" t="n">
        <v>0</v>
      </c>
      <c r="I30" s="31" t="n">
        <f aca="false">SUM(C30:H30)</f>
        <v>0</v>
      </c>
      <c r="J30" s="32" t="s">
        <v>129</v>
      </c>
    </row>
    <row r="31" customFormat="false" ht="15" hidden="false" customHeight="false" outlineLevel="0" collapsed="false">
      <c r="A31" s="29" t="n">
        <v>22</v>
      </c>
      <c r="B31" s="6" t="s">
        <v>130</v>
      </c>
      <c r="C31" s="30" t="n">
        <v>0</v>
      </c>
      <c r="D31" s="30" t="n">
        <v>0</v>
      </c>
      <c r="E31" s="30" t="n">
        <v>0</v>
      </c>
      <c r="F31" s="30" t="n">
        <v>0</v>
      </c>
      <c r="G31" s="30" t="n">
        <v>0</v>
      </c>
      <c r="H31" s="30" t="n">
        <v>0</v>
      </c>
      <c r="I31" s="31" t="n">
        <f aca="false">SUM(C31:H31)</f>
        <v>0</v>
      </c>
      <c r="J31" s="32" t="s">
        <v>131</v>
      </c>
    </row>
    <row r="32" customFormat="false" ht="15" hidden="false" customHeight="false" outlineLevel="0" collapsed="false">
      <c r="A32" s="29" t="n">
        <v>23</v>
      </c>
      <c r="B32" s="6" t="s">
        <v>132</v>
      </c>
      <c r="C32" s="30" t="n">
        <v>0</v>
      </c>
      <c r="D32" s="30" t="n">
        <v>0</v>
      </c>
      <c r="E32" s="30" t="n">
        <v>0</v>
      </c>
      <c r="F32" s="30" t="n">
        <v>0</v>
      </c>
      <c r="G32" s="30" t="n">
        <v>0</v>
      </c>
      <c r="H32" s="30" t="n">
        <v>0</v>
      </c>
      <c r="I32" s="31" t="n">
        <f aca="false">SUM(C32:H32)</f>
        <v>0</v>
      </c>
      <c r="J32" s="32"/>
    </row>
    <row r="33" customFormat="false" ht="15" hidden="false" customHeight="false" outlineLevel="0" collapsed="false">
      <c r="A33" s="29" t="n">
        <v>24</v>
      </c>
      <c r="B33" s="7" t="s">
        <v>108</v>
      </c>
      <c r="C33" s="30" t="n">
        <v>0</v>
      </c>
      <c r="D33" s="30" t="n">
        <v>0</v>
      </c>
      <c r="E33" s="30" t="n">
        <v>0</v>
      </c>
      <c r="F33" s="30" t="n">
        <v>0</v>
      </c>
      <c r="G33" s="30" t="n">
        <v>0</v>
      </c>
      <c r="H33" s="30" t="n">
        <v>0</v>
      </c>
      <c r="I33" s="31" t="n">
        <f aca="false">SUM(C33:H33)</f>
        <v>0</v>
      </c>
      <c r="J33" s="32" t="s">
        <v>109</v>
      </c>
    </row>
    <row r="34" customFormat="false" ht="15" hidden="false" customHeight="false" outlineLevel="0" collapsed="false">
      <c r="A34" s="29" t="n">
        <v>25</v>
      </c>
      <c r="B34" s="7" t="s">
        <v>133</v>
      </c>
      <c r="C34" s="30" t="n">
        <v>0</v>
      </c>
      <c r="D34" s="30" t="n">
        <v>0</v>
      </c>
      <c r="E34" s="30" t="n">
        <v>0</v>
      </c>
      <c r="F34" s="30" t="n">
        <v>0</v>
      </c>
      <c r="G34" s="30" t="n">
        <v>0</v>
      </c>
      <c r="H34" s="30" t="n">
        <v>0</v>
      </c>
      <c r="I34" s="31" t="n">
        <f aca="false">SUM(C34:H34)</f>
        <v>0</v>
      </c>
      <c r="J34" s="32" t="s">
        <v>109</v>
      </c>
    </row>
    <row r="35" customFormat="false" ht="15" hidden="false" customHeight="false" outlineLevel="0" collapsed="false">
      <c r="A35" s="29" t="n">
        <v>26</v>
      </c>
      <c r="B35" s="7" t="s">
        <v>134</v>
      </c>
      <c r="C35" s="30" t="n">
        <v>0</v>
      </c>
      <c r="D35" s="30" t="n">
        <v>0</v>
      </c>
      <c r="E35" s="30" t="n">
        <v>0</v>
      </c>
      <c r="F35" s="30" t="n">
        <v>0</v>
      </c>
      <c r="G35" s="30" t="n">
        <v>0</v>
      </c>
      <c r="H35" s="30" t="n">
        <v>0</v>
      </c>
      <c r="I35" s="31" t="n">
        <f aca="false">SUM(C35:H35)</f>
        <v>0</v>
      </c>
      <c r="J35" s="32" t="s">
        <v>109</v>
      </c>
    </row>
    <row r="36" customFormat="false" ht="15" hidden="false" customHeight="false" outlineLevel="0" collapsed="false">
      <c r="A36" s="29" t="n">
        <v>27</v>
      </c>
      <c r="B36" s="7" t="s">
        <v>135</v>
      </c>
      <c r="C36" s="30" t="n">
        <v>0</v>
      </c>
      <c r="D36" s="30" t="n">
        <v>0</v>
      </c>
      <c r="E36" s="30" t="n">
        <v>0</v>
      </c>
      <c r="F36" s="30" t="n">
        <v>0</v>
      </c>
      <c r="G36" s="30" t="n">
        <v>0</v>
      </c>
      <c r="H36" s="30" t="n">
        <v>0</v>
      </c>
      <c r="I36" s="31" t="n">
        <f aca="false">SUM(C36:H36)</f>
        <v>0</v>
      </c>
      <c r="J36" s="32" t="s">
        <v>109</v>
      </c>
    </row>
    <row r="37" customFormat="false" ht="15" hidden="false" customHeight="false" outlineLevel="0" collapsed="false">
      <c r="A37" s="29" t="n">
        <v>28</v>
      </c>
      <c r="B37" s="7" t="s">
        <v>136</v>
      </c>
      <c r="C37" s="30" t="n">
        <v>0</v>
      </c>
      <c r="D37" s="30" t="n">
        <v>0</v>
      </c>
      <c r="E37" s="30" t="n">
        <v>0</v>
      </c>
      <c r="F37" s="30" t="n">
        <v>0</v>
      </c>
      <c r="G37" s="30" t="n">
        <v>0</v>
      </c>
      <c r="H37" s="30" t="n">
        <v>0</v>
      </c>
      <c r="I37" s="31" t="n">
        <f aca="false">SUM(C37:H37)</f>
        <v>0</v>
      </c>
      <c r="J37" s="32" t="s">
        <v>109</v>
      </c>
    </row>
    <row r="38" customFormat="false" ht="15" hidden="false" customHeight="false" outlineLevel="0" collapsed="false">
      <c r="A38" s="29" t="n">
        <v>29</v>
      </c>
      <c r="B38" s="6" t="s">
        <v>137</v>
      </c>
      <c r="C38" s="30" t="n">
        <v>0</v>
      </c>
      <c r="D38" s="30" t="n">
        <v>0</v>
      </c>
      <c r="E38" s="30" t="n">
        <v>0</v>
      </c>
      <c r="F38" s="30" t="n">
        <v>0</v>
      </c>
      <c r="G38" s="30" t="n">
        <v>0</v>
      </c>
      <c r="H38" s="30" t="n">
        <v>0</v>
      </c>
      <c r="I38" s="31" t="n">
        <f aca="false">SUM(C38:H38)</f>
        <v>0</v>
      </c>
      <c r="J38" s="32" t="s">
        <v>138</v>
      </c>
    </row>
    <row r="39" customFormat="false" ht="22.35" hidden="false" customHeight="false" outlineLevel="0" collapsed="false">
      <c r="A39" s="29" t="n">
        <v>30</v>
      </c>
      <c r="B39" s="6" t="s">
        <v>139</v>
      </c>
      <c r="C39" s="30" t="n">
        <v>38</v>
      </c>
      <c r="D39" s="30" t="n">
        <v>2</v>
      </c>
      <c r="E39" s="30" t="n">
        <v>0</v>
      </c>
      <c r="F39" s="30" t="n">
        <v>0</v>
      </c>
      <c r="G39" s="30" t="n">
        <v>0</v>
      </c>
      <c r="H39" s="30" t="n">
        <v>0</v>
      </c>
      <c r="I39" s="31" t="n">
        <f aca="false">SUM(C39:H39)</f>
        <v>40</v>
      </c>
      <c r="J39" s="32" t="s">
        <v>140</v>
      </c>
    </row>
    <row r="40" customFormat="false" ht="22.35" hidden="false" customHeight="false" outlineLevel="0" collapsed="false">
      <c r="A40" s="17" t="n">
        <v>31</v>
      </c>
      <c r="B40" s="36" t="s">
        <v>141</v>
      </c>
      <c r="C40" s="37" t="n">
        <f aca="false">C71</f>
        <v>2862</v>
      </c>
      <c r="D40" s="37" t="n">
        <f aca="false">D71</f>
        <v>88</v>
      </c>
      <c r="E40" s="37" t="n">
        <f aca="false">E71</f>
        <v>0</v>
      </c>
      <c r="F40" s="37" t="n">
        <f aca="false">F71</f>
        <v>0</v>
      </c>
      <c r="G40" s="37" t="n">
        <f aca="false">G71</f>
        <v>0</v>
      </c>
      <c r="H40" s="37" t="n">
        <f aca="false">H71</f>
        <v>0</v>
      </c>
      <c r="I40" s="37" t="n">
        <f aca="false">SUM(C40:H40)</f>
        <v>2950</v>
      </c>
      <c r="J40" s="32" t="s">
        <v>142</v>
      </c>
    </row>
    <row r="41" customFormat="false" ht="15" hidden="false" customHeight="false" outlineLevel="0" collapsed="false">
      <c r="A41" s="33" t="n">
        <v>32</v>
      </c>
      <c r="B41" s="20" t="s">
        <v>143</v>
      </c>
      <c r="C41" s="34" t="n">
        <f aca="false">SUM(C22:C40)</f>
        <v>4350</v>
      </c>
      <c r="D41" s="34" t="n">
        <f aca="false">SUM(D22:D40)</f>
        <v>120</v>
      </c>
      <c r="E41" s="34" t="n">
        <f aca="false">SUM(E22:E40)</f>
        <v>0</v>
      </c>
      <c r="F41" s="34" t="n">
        <f aca="false">SUM(F22:F40)</f>
        <v>0</v>
      </c>
      <c r="G41" s="34" t="n">
        <f aca="false">SUM(G22:G40)</f>
        <v>60</v>
      </c>
      <c r="H41" s="34" t="n">
        <f aca="false">SUM(H22:H40)</f>
        <v>0</v>
      </c>
      <c r="I41" s="34" t="n">
        <f aca="false">SUM(I22:I40)</f>
        <v>4530</v>
      </c>
      <c r="J41" s="35" t="s">
        <v>144</v>
      </c>
    </row>
    <row r="43" customFormat="false" ht="15" hidden="false" customHeight="true" outlineLevel="0" collapsed="false">
      <c r="A43" s="5" t="s">
        <v>145</v>
      </c>
      <c r="B43" s="5"/>
      <c r="C43" s="5"/>
      <c r="D43" s="5"/>
      <c r="E43" s="5"/>
      <c r="F43" s="5"/>
      <c r="G43" s="5"/>
      <c r="H43" s="5"/>
      <c r="I43" s="5"/>
      <c r="J43" s="5"/>
    </row>
    <row r="44" customFormat="false" ht="15" hidden="false" customHeight="false" outlineLevel="0" collapsed="false">
      <c r="B44" s="6" t="s">
        <v>146</v>
      </c>
      <c r="C44" s="38" t="n">
        <f aca="false">ROUND(C20-C41,2)+0</f>
        <v>0</v>
      </c>
      <c r="D44" s="38" t="n">
        <f aca="false">ROUND(D20-D41,2)+0</f>
        <v>0</v>
      </c>
      <c r="E44" s="38" t="n">
        <f aca="false">ROUND(E20-E41,2)+0</f>
        <v>0</v>
      </c>
      <c r="F44" s="38" t="n">
        <f aca="false">ROUND(F20-F41,2)+0</f>
        <v>0</v>
      </c>
      <c r="G44" s="38" t="n">
        <f aca="false">ROUND(G20-G41,2)+0</f>
        <v>0</v>
      </c>
      <c r="H44" s="38" t="n">
        <f aca="false">ROUND(H20-H41,2)+0</f>
        <v>0</v>
      </c>
      <c r="I44" s="38" t="n">
        <f aca="false">ROUND(I20-I41,2)+0</f>
        <v>0</v>
      </c>
      <c r="J44" s="32" t="s">
        <v>147</v>
      </c>
    </row>
    <row r="45" customFormat="false" ht="15" hidden="false" customHeight="false" outlineLevel="0" collapsed="false">
      <c r="B45" s="36" t="s">
        <v>148</v>
      </c>
      <c r="C45" s="17" t="str">
        <f aca="false">IF(ROUND(C44,2)=0,"✓ PASS","✗ FAIL")</f>
        <v>✓ PASS</v>
      </c>
      <c r="D45" s="17" t="str">
        <f aca="false">IF(ROUND(D44,2)=0,"✓ PASS","✗ FAIL")</f>
        <v>✓ PASS</v>
      </c>
      <c r="E45" s="17" t="str">
        <f aca="false">IF(ROUND(E44,2)=0,"✓ PASS","✗ FAIL")</f>
        <v>✓ PASS</v>
      </c>
      <c r="F45" s="17" t="str">
        <f aca="false">IF(ROUND(F44,2)=0,"✓ PASS","✗ FAIL")</f>
        <v>✓ PASS</v>
      </c>
      <c r="G45" s="17" t="str">
        <f aca="false">IF(ROUND(G44,2)=0,"✓ PASS","✗ FAIL")</f>
        <v>✓ PASS</v>
      </c>
      <c r="H45" s="17" t="str">
        <f aca="false">IF(ROUND(H44,2)=0,"✓ PASS","✗ FAIL")</f>
        <v>✓ PASS</v>
      </c>
      <c r="I45" s="17" t="str">
        <f aca="false">IF(COUNTIF(C45:H45,"✓ PASS")=6,"✓ PASS","✗ FAIL")</f>
        <v>✓ PASS</v>
      </c>
    </row>
    <row r="46" customFormat="false" ht="15" hidden="false" customHeight="false" outlineLevel="0" collapsed="false">
      <c r="B46" s="6" t="s">
        <v>149</v>
      </c>
      <c r="C46" s="31" t="n">
        <f aca="false">C20-SUM(C22:C39)</f>
        <v>2862</v>
      </c>
      <c r="D46" s="31" t="n">
        <f aca="false">D20-SUM(D22:D39)</f>
        <v>88</v>
      </c>
      <c r="E46" s="31" t="n">
        <f aca="false">E20-SUM(E22:E39)</f>
        <v>0</v>
      </c>
      <c r="F46" s="31" t="n">
        <f aca="false">F20-SUM(F22:F39)</f>
        <v>0</v>
      </c>
      <c r="G46" s="31" t="n">
        <f aca="false">G20-SUM(G22:G39)</f>
        <v>0</v>
      </c>
      <c r="H46" s="31" t="n">
        <f aca="false">H20-SUM(H22:H39)</f>
        <v>0</v>
      </c>
      <c r="I46" s="31" t="n">
        <f aca="false">SUM(C46:H46)</f>
        <v>2950</v>
      </c>
    </row>
    <row r="47" customFormat="false" ht="22.35" hidden="false" customHeight="false" outlineLevel="0" collapsed="false">
      <c r="B47" s="6" t="s">
        <v>150</v>
      </c>
      <c r="C47" s="31" t="n">
        <f aca="false">C40-C46</f>
        <v>0</v>
      </c>
      <c r="D47" s="31" t="n">
        <f aca="false">D40-D46</f>
        <v>0</v>
      </c>
      <c r="E47" s="31" t="n">
        <f aca="false">E40-E46</f>
        <v>0</v>
      </c>
      <c r="F47" s="31" t="n">
        <f aca="false">F40-F46</f>
        <v>0</v>
      </c>
      <c r="G47" s="31" t="n">
        <f aca="false">G40-G46</f>
        <v>0</v>
      </c>
      <c r="H47" s="31" t="n">
        <f aca="false">H40-H46</f>
        <v>0</v>
      </c>
      <c r="I47" s="31" t="n">
        <f aca="false">I40-I46</f>
        <v>0</v>
      </c>
      <c r="J47" s="32" t="s">
        <v>151</v>
      </c>
    </row>
    <row r="48" customFormat="false" ht="15" hidden="false" customHeight="false" outlineLevel="0" collapsed="false">
      <c r="B48" s="6" t="s">
        <v>152</v>
      </c>
      <c r="C48" s="30" t="n">
        <v>3150</v>
      </c>
      <c r="D48" s="30" t="n">
        <v>120</v>
      </c>
      <c r="E48" s="30" t="n">
        <v>0</v>
      </c>
      <c r="F48" s="30" t="n">
        <v>0</v>
      </c>
      <c r="G48" s="30" t="n">
        <v>60</v>
      </c>
      <c r="H48" s="30" t="n">
        <v>0</v>
      </c>
      <c r="I48" s="31" t="n">
        <f aca="false">SUM(C48:H48)</f>
        <v>3330</v>
      </c>
    </row>
    <row r="49" customFormat="false" ht="15" hidden="false" customHeight="false" outlineLevel="0" collapsed="false">
      <c r="B49" s="6" t="s">
        <v>153</v>
      </c>
      <c r="C49" s="38" t="n">
        <f aca="false">ROUND(C9-C48,2)+0</f>
        <v>0</v>
      </c>
      <c r="D49" s="38" t="n">
        <f aca="false">ROUND(D9-D48,2)+0</f>
        <v>0</v>
      </c>
      <c r="E49" s="38" t="n">
        <f aca="false">ROUND(E9-E48,2)+0</f>
        <v>0</v>
      </c>
      <c r="F49" s="38" t="n">
        <f aca="false">ROUND(F9-F48,2)+0</f>
        <v>0</v>
      </c>
      <c r="G49" s="38" t="n">
        <f aca="false">ROUND(G9-G48,2)+0</f>
        <v>0</v>
      </c>
      <c r="H49" s="38" t="n">
        <f aca="false">ROUND(H9-H48,2)+0</f>
        <v>0</v>
      </c>
      <c r="I49" s="38" t="n">
        <f aca="false">ROUND(I9-I48,2)+0</f>
        <v>0</v>
      </c>
    </row>
    <row r="50" customFormat="false" ht="15" hidden="false" customHeight="false" outlineLevel="0" collapsed="false">
      <c r="B50" s="36" t="s">
        <v>154</v>
      </c>
      <c r="C50" s="17" t="str">
        <f aca="false">IF(ROUND(C49,2)=0,"✓ PASS","✗ FAIL")</f>
        <v>✓ PASS</v>
      </c>
      <c r="D50" s="17" t="str">
        <f aca="false">IF(ROUND(D49,2)=0,"✓ PASS","✗ FAIL")</f>
        <v>✓ PASS</v>
      </c>
      <c r="E50" s="17" t="str">
        <f aca="false">IF(ROUND(E49,2)=0,"✓ PASS","✗ FAIL")</f>
        <v>✓ PASS</v>
      </c>
      <c r="F50" s="17" t="str">
        <f aca="false">IF(ROUND(F49,2)=0,"✓ PASS","✗ FAIL")</f>
        <v>✓ PASS</v>
      </c>
      <c r="G50" s="17" t="str">
        <f aca="false">IF(ROUND(G49,2)=0,"✓ PASS","✗ FAIL")</f>
        <v>✓ PASS</v>
      </c>
      <c r="H50" s="17" t="str">
        <f aca="false">IF(ROUND(H49,2)=0,"✓ PASS","✗ FAIL")</f>
        <v>✓ PASS</v>
      </c>
      <c r="I50" s="17" t="str">
        <f aca="false">IF(COUNTIF(C50:H50,"✓ PASS")=6,"✓ PASS","✗ FAIL")</f>
        <v>✓ PASS</v>
      </c>
    </row>
    <row r="52" customFormat="false" ht="15" hidden="false" customHeight="true" outlineLevel="0" collapsed="false">
      <c r="A52" s="22" t="s">
        <v>155</v>
      </c>
      <c r="B52" s="22"/>
      <c r="C52" s="22"/>
      <c r="D52" s="22"/>
      <c r="E52" s="22"/>
      <c r="F52" s="22"/>
      <c r="G52" s="22"/>
      <c r="H52" s="22"/>
      <c r="I52" s="22"/>
      <c r="J52" s="22"/>
    </row>
    <row r="53" customFormat="false" ht="15" hidden="false" customHeight="false" outlineLevel="0" collapsed="false">
      <c r="A53" s="39" t="s">
        <v>156</v>
      </c>
      <c r="B53" s="39" t="s">
        <v>157</v>
      </c>
      <c r="C53" s="39" t="s">
        <v>158</v>
      </c>
      <c r="D53" s="39" t="s">
        <v>159</v>
      </c>
      <c r="E53" s="39" t="s">
        <v>160</v>
      </c>
      <c r="F53" s="39" t="s">
        <v>161</v>
      </c>
      <c r="G53" s="39" t="s">
        <v>162</v>
      </c>
      <c r="H53" s="39"/>
      <c r="I53" s="39"/>
      <c r="J53" s="39" t="s">
        <v>37</v>
      </c>
    </row>
    <row r="54" customFormat="false" ht="15" hidden="false" customHeight="false" outlineLevel="0" collapsed="false">
      <c r="A54" s="40" t="n">
        <v>1</v>
      </c>
      <c r="B54" s="7" t="s">
        <v>163</v>
      </c>
      <c r="C54" s="7" t="s">
        <v>164</v>
      </c>
      <c r="D54" s="7" t="s">
        <v>83</v>
      </c>
      <c r="E54" s="41" t="n">
        <v>16</v>
      </c>
      <c r="F54" s="42" t="n">
        <v>59</v>
      </c>
      <c r="G54" s="31" t="n">
        <f aca="false">IF(OR(E54="",F54=""),0,E54*F54)</f>
        <v>944</v>
      </c>
    </row>
    <row r="55" customFormat="false" ht="15" hidden="false" customHeight="false" outlineLevel="0" collapsed="false">
      <c r="A55" s="40" t="n">
        <v>2</v>
      </c>
      <c r="B55" s="7" t="s">
        <v>165</v>
      </c>
      <c r="C55" s="7" t="s">
        <v>164</v>
      </c>
      <c r="D55" s="7" t="s">
        <v>83</v>
      </c>
      <c r="E55" s="41" t="n">
        <v>12</v>
      </c>
      <c r="F55" s="42" t="n">
        <v>59</v>
      </c>
      <c r="G55" s="31" t="n">
        <f aca="false">IF(OR(E55="",F55=""),0,E55*F55)</f>
        <v>708</v>
      </c>
    </row>
    <row r="56" customFormat="false" ht="15" hidden="false" customHeight="false" outlineLevel="0" collapsed="false">
      <c r="A56" s="40" t="n">
        <v>3</v>
      </c>
      <c r="B56" s="7" t="s">
        <v>166</v>
      </c>
      <c r="C56" s="7" t="s">
        <v>167</v>
      </c>
      <c r="D56" s="7" t="s">
        <v>83</v>
      </c>
      <c r="E56" s="41" t="n">
        <v>1</v>
      </c>
      <c r="F56" s="42" t="n">
        <v>10</v>
      </c>
      <c r="G56" s="31" t="n">
        <f aca="false">IF(OR(E56="",F56=""),0,E56*F56)</f>
        <v>10</v>
      </c>
    </row>
    <row r="57" customFormat="false" ht="15" hidden="false" customHeight="false" outlineLevel="0" collapsed="false">
      <c r="A57" s="40" t="n">
        <v>4</v>
      </c>
      <c r="B57" s="7" t="s">
        <v>168</v>
      </c>
      <c r="C57" s="7" t="s">
        <v>169</v>
      </c>
      <c r="D57" s="7" t="s">
        <v>83</v>
      </c>
      <c r="E57" s="41" t="n">
        <v>1</v>
      </c>
      <c r="F57" s="42" t="n">
        <v>800</v>
      </c>
      <c r="G57" s="31" t="n">
        <f aca="false">IF(OR(E57="",F57=""),0,E57*F57)</f>
        <v>800</v>
      </c>
    </row>
    <row r="58" customFormat="false" ht="15" hidden="false" customHeight="false" outlineLevel="0" collapsed="false">
      <c r="A58" s="40" t="n">
        <v>5</v>
      </c>
      <c r="B58" s="7" t="s">
        <v>170</v>
      </c>
      <c r="C58" s="7" t="s">
        <v>169</v>
      </c>
      <c r="D58" s="7" t="s">
        <v>83</v>
      </c>
      <c r="E58" s="41" t="n">
        <v>1</v>
      </c>
      <c r="F58" s="42" t="n">
        <v>400</v>
      </c>
      <c r="G58" s="31" t="n">
        <f aca="false">IF(OR(E58="",F58=""),0,E58*F58)</f>
        <v>400</v>
      </c>
    </row>
    <row r="59" customFormat="false" ht="15" hidden="false" customHeight="false" outlineLevel="0" collapsed="false">
      <c r="A59" s="40" t="n">
        <v>6</v>
      </c>
      <c r="B59" s="7" t="s">
        <v>171</v>
      </c>
      <c r="C59" s="7" t="s">
        <v>164</v>
      </c>
      <c r="D59" s="7" t="s">
        <v>84</v>
      </c>
      <c r="E59" s="41" t="n">
        <v>1</v>
      </c>
      <c r="F59" s="42" t="n">
        <v>59</v>
      </c>
      <c r="G59" s="31" t="n">
        <f aca="false">IF(OR(E59="",F59=""),0,E59*F59)</f>
        <v>59</v>
      </c>
    </row>
    <row r="60" customFormat="false" ht="15" hidden="false" customHeight="false" outlineLevel="0" collapsed="false">
      <c r="A60" s="40" t="n">
        <v>7</v>
      </c>
      <c r="B60" s="7" t="s">
        <v>172</v>
      </c>
      <c r="C60" s="7" t="s">
        <v>173</v>
      </c>
      <c r="D60" s="7" t="s">
        <v>84</v>
      </c>
      <c r="E60" s="41" t="n">
        <v>5</v>
      </c>
      <c r="F60" s="42" t="n">
        <v>5.8</v>
      </c>
      <c r="G60" s="31" t="n">
        <f aca="false">IF(OR(E60="",F60=""),0,E60*F60)</f>
        <v>29</v>
      </c>
    </row>
    <row r="61" customFormat="false" ht="15" hidden="false" customHeight="false" outlineLevel="0" collapsed="false">
      <c r="A61" s="40" t="n">
        <v>8</v>
      </c>
      <c r="B61" s="7"/>
      <c r="C61" s="7"/>
      <c r="D61" s="7"/>
      <c r="E61" s="41"/>
      <c r="F61" s="42"/>
      <c r="G61" s="31" t="n">
        <f aca="false">IF(OR(E61="",F61=""),0,E61*F61)</f>
        <v>0</v>
      </c>
    </row>
    <row r="62" customFormat="false" ht="15" hidden="false" customHeight="false" outlineLevel="0" collapsed="false">
      <c r="A62" s="40" t="n">
        <v>9</v>
      </c>
      <c r="B62" s="7"/>
      <c r="C62" s="7"/>
      <c r="D62" s="7"/>
      <c r="E62" s="41"/>
      <c r="F62" s="42"/>
      <c r="G62" s="31" t="n">
        <f aca="false">IF(OR(E62="",F62=""),0,E62*F62)</f>
        <v>0</v>
      </c>
    </row>
    <row r="63" customFormat="false" ht="15" hidden="false" customHeight="false" outlineLevel="0" collapsed="false">
      <c r="A63" s="40" t="n">
        <v>10</v>
      </c>
      <c r="B63" s="7"/>
      <c r="C63" s="7"/>
      <c r="D63" s="7"/>
      <c r="E63" s="41"/>
      <c r="F63" s="42"/>
      <c r="G63" s="31" t="n">
        <f aca="false">IF(OR(E63="",F63=""),0,E63*F63)</f>
        <v>0</v>
      </c>
    </row>
    <row r="64" customFormat="false" ht="15" hidden="false" customHeight="false" outlineLevel="0" collapsed="false">
      <c r="A64" s="40" t="n">
        <v>11</v>
      </c>
      <c r="B64" s="7"/>
      <c r="C64" s="7"/>
      <c r="D64" s="7"/>
      <c r="E64" s="41"/>
      <c r="F64" s="42"/>
      <c r="G64" s="31" t="n">
        <f aca="false">IF(OR(E64="",F64=""),0,E64*F64)</f>
        <v>0</v>
      </c>
    </row>
    <row r="65" customFormat="false" ht="15" hidden="false" customHeight="false" outlineLevel="0" collapsed="false">
      <c r="A65" s="40" t="n">
        <v>12</v>
      </c>
      <c r="B65" s="7"/>
      <c r="C65" s="7"/>
      <c r="D65" s="7"/>
      <c r="E65" s="41"/>
      <c r="F65" s="42"/>
      <c r="G65" s="31" t="n">
        <f aca="false">IF(OR(E65="",F65=""),0,E65*F65)</f>
        <v>0</v>
      </c>
    </row>
    <row r="66" customFormat="false" ht="15" hidden="false" customHeight="false" outlineLevel="0" collapsed="false">
      <c r="A66" s="40" t="n">
        <v>13</v>
      </c>
      <c r="B66" s="7"/>
      <c r="C66" s="7"/>
      <c r="D66" s="7"/>
      <c r="E66" s="41"/>
      <c r="F66" s="42"/>
      <c r="G66" s="31" t="n">
        <f aca="false">IF(OR(E66="",F66=""),0,E66*F66)</f>
        <v>0</v>
      </c>
    </row>
    <row r="67" customFormat="false" ht="15" hidden="false" customHeight="false" outlineLevel="0" collapsed="false">
      <c r="A67" s="40" t="n">
        <v>14</v>
      </c>
      <c r="B67" s="7"/>
      <c r="C67" s="7"/>
      <c r="D67" s="7"/>
      <c r="E67" s="41"/>
      <c r="F67" s="42"/>
      <c r="G67" s="31" t="n">
        <f aca="false">IF(OR(E67="",F67=""),0,E67*F67)</f>
        <v>0</v>
      </c>
    </row>
    <row r="68" customFormat="false" ht="15" hidden="false" customHeight="false" outlineLevel="0" collapsed="false">
      <c r="A68" s="40" t="n">
        <v>15</v>
      </c>
      <c r="B68" s="7"/>
      <c r="C68" s="7"/>
      <c r="D68" s="7"/>
      <c r="E68" s="41"/>
      <c r="F68" s="42"/>
      <c r="G68" s="31" t="n">
        <f aca="false">IF(OR(E68="",F68=""),0,E68*F68)</f>
        <v>0</v>
      </c>
    </row>
    <row r="69" customFormat="false" ht="15" hidden="false" customHeight="false" outlineLevel="0" collapsed="false">
      <c r="F69" s="20" t="s">
        <v>174</v>
      </c>
      <c r="G69" s="34" t="n">
        <f aca="false">SUM(G54:G68)</f>
        <v>2950</v>
      </c>
    </row>
    <row r="71" customFormat="false" ht="15" hidden="false" customHeight="false" outlineLevel="0" collapsed="false">
      <c r="B71" s="20" t="s">
        <v>175</v>
      </c>
      <c r="C71" s="34" t="n">
        <f aca="false">SUMIF($D$54:$D$68,C$7,$G$54:$G$68)</f>
        <v>2862</v>
      </c>
      <c r="D71" s="34" t="n">
        <f aca="false">SUMIF($D$54:$D$68,D$7,$G$54:$G$68)</f>
        <v>88</v>
      </c>
      <c r="E71" s="34" t="n">
        <f aca="false">SUMIF($D$54:$D$68,E$7,$G$54:$G$68)</f>
        <v>0</v>
      </c>
      <c r="F71" s="34" t="n">
        <f aca="false">SUMIF($D$54:$D$68,F$7,$G$54:$G$68)</f>
        <v>0</v>
      </c>
      <c r="G71" s="34" t="n">
        <f aca="false">SUMIF($D$54:$D$68,G$7,$G$54:$G$68)</f>
        <v>0</v>
      </c>
      <c r="H71" s="34" t="n">
        <f aca="false">SUMIF($D$54:$D$68,H$7,$G$54:$G$68)</f>
        <v>0</v>
      </c>
      <c r="I71" s="34" t="n">
        <f aca="false">SUM(C71:H71)</f>
        <v>2950</v>
      </c>
      <c r="J71" s="11" t="str">
        <f aca="false">IF(ROUND(I71-G69,2)=0,"✓ every vessel has a tax class","✗ a vessel is missing its tax class")</f>
        <v>✓ every vessel has a tax class</v>
      </c>
    </row>
  </sheetData>
  <mergeCells count="8">
    <mergeCell ref="A1:J1"/>
    <mergeCell ref="A2:J2"/>
    <mergeCell ref="A3:J3"/>
    <mergeCell ref="A4:J4"/>
    <mergeCell ref="A8:J8"/>
    <mergeCell ref="A21:J21"/>
    <mergeCell ref="A43:J43"/>
    <mergeCell ref="A52:J52"/>
  </mergeCells>
  <conditionalFormatting sqref="C45:I45">
    <cfRule type="expression" priority="2" aboveAverage="0" equalAverage="0" bottom="0" percent="0" rank="0" text="" dxfId="1">
      <formula>ISNUMBER(SEARCH("PASS",C45))</formula>
    </cfRule>
    <cfRule type="expression" priority="3" aboveAverage="0" equalAverage="0" bottom="0" percent="0" rank="0" text="" dxfId="2">
      <formula>OR(ISNUMBER(SEARCH("FAIL",C45)),ISNUMBER(SEARCH("NOT READY",C45)),ISNUMBER(SEARCH("OPEN",C45)))</formula>
    </cfRule>
    <cfRule type="expression" priority="4" aboveAverage="0" equalAverage="0" bottom="0" percent="0" rank="0" text="" dxfId="1">
      <formula>ISNUMBER(SEARCH("READY TO SEND",C45))</formula>
    </cfRule>
  </conditionalFormatting>
  <conditionalFormatting sqref="C50:I50">
    <cfRule type="expression" priority="5" aboveAverage="0" equalAverage="0" bottom="0" percent="0" rank="0" text="" dxfId="1">
      <formula>ISNUMBER(SEARCH("PASS",C50))</formula>
    </cfRule>
    <cfRule type="expression" priority="6" aboveAverage="0" equalAverage="0" bottom="0" percent="0" rank="0" text="" dxfId="2">
      <formula>OR(ISNUMBER(SEARCH("FAIL",C50)),ISNUMBER(SEARCH("NOT READY",C50)),ISNUMBER(SEARCH("OPEN",C50)))</formula>
    </cfRule>
    <cfRule type="expression" priority="7" aboveAverage="0" equalAverage="0" bottom="0" percent="0" rank="0" text="" dxfId="1">
      <formula>ISNUMBER(SEARCH("READY TO SEND",C50))</formula>
    </cfRule>
  </conditionalFormatting>
  <dataValidations count="2">
    <dataValidation allowBlank="true" errorStyle="stop" operator="between" showDropDown="false" showErrorMessage="false" showInputMessage="false" sqref="C54:C68" type="list">
      <formula1>"Barrel,Tank,Keg,Carboy,Tote,Other"</formula1>
      <formula2>0</formula2>
    </dataValidation>
    <dataValidation allowBlank="true" errorStyle="stop" operator="between" showDropDown="false" showErrorMessage="false" showInputMessage="false" sqref="D54:D68" type="list">
      <formula1>"a: ≤16%,b: &gt;16–21%,c: &gt;21–24%,d: Art. carbonated,e: Sparkling,f: Hard cider"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1A2C"/>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7"/>
    <col collapsed="false" customWidth="true" hidden="false" outlineLevel="0" max="2" min="2" style="0" width="46"/>
    <col collapsed="false" customWidth="true" hidden="false" outlineLevel="0" max="5" min="3" style="0" width="14"/>
    <col collapsed="false" customWidth="true" hidden="false" outlineLevel="0" max="6" min="6" style="0" width="15"/>
    <col collapsed="false" customWidth="true" hidden="false" outlineLevel="0" max="9" min="7" style="0" width="14"/>
    <col collapsed="false" customWidth="true" hidden="false" outlineLevel="0" max="10" min="10" style="0" width="62"/>
  </cols>
  <sheetData>
    <row r="1" customFormat="false" ht="30" hidden="false" customHeight="true" outlineLevel="0" collapsed="false">
      <c r="A1" s="1" t="s">
        <v>0</v>
      </c>
      <c r="B1" s="1"/>
      <c r="C1" s="1"/>
      <c r="D1" s="1"/>
      <c r="E1" s="1"/>
      <c r="F1" s="1"/>
      <c r="G1" s="1"/>
      <c r="H1" s="1"/>
      <c r="I1" s="1"/>
      <c r="J1" s="1"/>
    </row>
    <row r="2" customFormat="false" ht="19.5" hidden="false" customHeight="true" outlineLevel="0" collapsed="false">
      <c r="A2" s="2" t="str">
        <f aca="false">"TTB F 5120.17, Part I, Section B: Bottled Wines (wine gallons)  ·  "&amp;'1_Winery_Info_&amp;_Checklist'!$B$7&amp;"  ·  Registry "&amp;'1_Winery_Info_&amp;_Checklist'!$B$9&amp;"  ·  "&amp;'1_Winery_Info_&amp;_Checklist'!$B$17&amp;" "&amp;'1_Winery_Info_&amp;_Checklist'!$B$16</f>
        <v>TTB F 5120.17, Part I, Section B: Bottled Wines (wine gallons)  ·  Oak Hollow Cellars (SAMPLE)  ·  Registry BW-CA-00000 (SAMPLE)  ·  Q3 2026</v>
      </c>
      <c r="B2" s="2"/>
      <c r="C2" s="2"/>
      <c r="D2" s="2"/>
      <c r="E2" s="2"/>
      <c r="F2" s="2"/>
      <c r="G2" s="2"/>
      <c r="H2" s="2"/>
      <c r="I2" s="2"/>
      <c r="J2" s="2"/>
    </row>
    <row r="3" customFormat="false" ht="30" hidden="false" customHeight="true" outlineLevel="0" collapsed="false">
      <c r="A3" s="3" t="s">
        <v>2</v>
      </c>
      <c r="B3" s="3"/>
      <c r="C3" s="3"/>
      <c r="D3" s="3"/>
      <c r="E3" s="3"/>
      <c r="F3" s="3"/>
      <c r="G3" s="3"/>
      <c r="H3" s="3"/>
      <c r="I3" s="3"/>
      <c r="J3" s="3"/>
    </row>
    <row r="4" customFormat="false" ht="18" hidden="false" customHeight="true" outlineLevel="0" collapsed="false">
      <c r="A4" s="4" t="s">
        <v>3</v>
      </c>
      <c r="B4" s="4"/>
      <c r="C4" s="4"/>
      <c r="D4" s="4"/>
      <c r="E4" s="4"/>
      <c r="F4" s="4"/>
      <c r="G4" s="4"/>
      <c r="H4" s="4"/>
      <c r="I4" s="4"/>
      <c r="J4" s="4"/>
    </row>
    <row r="6" customFormat="false" ht="31.5" hidden="false" customHeight="true" outlineLevel="0" collapsed="false">
      <c r="A6" s="26" t="s">
        <v>72</v>
      </c>
      <c r="B6" s="26" t="s">
        <v>73</v>
      </c>
      <c r="C6" s="26" t="s">
        <v>74</v>
      </c>
      <c r="D6" s="26" t="s">
        <v>75</v>
      </c>
      <c r="E6" s="26" t="s">
        <v>76</v>
      </c>
      <c r="F6" s="26" t="s">
        <v>77</v>
      </c>
      <c r="G6" s="26" t="s">
        <v>78</v>
      </c>
      <c r="H6" s="26" t="s">
        <v>79</v>
      </c>
      <c r="I6" s="26" t="s">
        <v>80</v>
      </c>
      <c r="J6" s="26" t="s">
        <v>81</v>
      </c>
    </row>
    <row r="7" customFormat="false" ht="15" hidden="false" customHeight="false" outlineLevel="0" collapsed="false">
      <c r="B7" s="27" t="s">
        <v>82</v>
      </c>
      <c r="C7" s="28" t="s">
        <v>83</v>
      </c>
      <c r="D7" s="28" t="s">
        <v>84</v>
      </c>
      <c r="E7" s="28" t="s">
        <v>85</v>
      </c>
      <c r="F7" s="28" t="s">
        <v>86</v>
      </c>
      <c r="G7" s="28" t="s">
        <v>87</v>
      </c>
      <c r="H7" s="28" t="s">
        <v>88</v>
      </c>
    </row>
    <row r="8" customFormat="false" ht="15" hidden="false" customHeight="true" outlineLevel="0" collapsed="false">
      <c r="A8" s="5" t="s">
        <v>176</v>
      </c>
      <c r="B8" s="5"/>
      <c r="C8" s="5"/>
      <c r="D8" s="5"/>
      <c r="E8" s="5"/>
      <c r="F8" s="5"/>
      <c r="G8" s="5"/>
      <c r="H8" s="5"/>
      <c r="I8" s="5"/>
      <c r="J8" s="5"/>
    </row>
    <row r="9" customFormat="false" ht="15" hidden="false" customHeight="false" outlineLevel="0" collapsed="false">
      <c r="A9" s="29" t="n">
        <v>1</v>
      </c>
      <c r="B9" s="6" t="s">
        <v>90</v>
      </c>
      <c r="C9" s="30" t="n">
        <v>1191.090609</v>
      </c>
      <c r="D9" s="30" t="n">
        <v>160.203878</v>
      </c>
      <c r="E9" s="30" t="n">
        <v>0</v>
      </c>
      <c r="F9" s="30" t="n">
        <v>0</v>
      </c>
      <c r="G9" s="30" t="n">
        <v>189.642589</v>
      </c>
      <c r="H9" s="30" t="n">
        <v>0</v>
      </c>
      <c r="I9" s="31" t="n">
        <f aca="false">SUM(C9:H9)</f>
        <v>1540.937076</v>
      </c>
      <c r="J9" s="32" t="s">
        <v>177</v>
      </c>
    </row>
    <row r="10" customFormat="false" ht="15" hidden="false" customHeight="false" outlineLevel="0" collapsed="false">
      <c r="A10" s="29" t="n">
        <v>2</v>
      </c>
      <c r="B10" s="6" t="s">
        <v>114</v>
      </c>
      <c r="C10" s="30" t="n">
        <v>1450</v>
      </c>
      <c r="D10" s="30" t="n">
        <v>30</v>
      </c>
      <c r="E10" s="30" t="n">
        <v>0</v>
      </c>
      <c r="F10" s="30" t="n">
        <v>0</v>
      </c>
      <c r="G10" s="30" t="n">
        <v>60</v>
      </c>
      <c r="H10" s="30" t="n">
        <v>0</v>
      </c>
      <c r="I10" s="31" t="n">
        <f aca="false">SUM(C10:H10)</f>
        <v>1540</v>
      </c>
      <c r="J10" s="32" t="s">
        <v>178</v>
      </c>
    </row>
    <row r="11" customFormat="false" ht="15" hidden="false" customHeight="false" outlineLevel="0" collapsed="false">
      <c r="A11" s="29" t="n">
        <v>3</v>
      </c>
      <c r="B11" s="6" t="s">
        <v>102</v>
      </c>
      <c r="C11" s="30" t="n">
        <v>0</v>
      </c>
      <c r="D11" s="30" t="n">
        <v>0</v>
      </c>
      <c r="E11" s="30" t="n">
        <v>0</v>
      </c>
      <c r="F11" s="30" t="n">
        <v>0</v>
      </c>
      <c r="G11" s="30" t="n">
        <v>0</v>
      </c>
      <c r="H11" s="30" t="n">
        <v>0</v>
      </c>
      <c r="I11" s="31" t="n">
        <f aca="false">SUM(C11:H11)</f>
        <v>0</v>
      </c>
      <c r="J11" s="32" t="s">
        <v>179</v>
      </c>
    </row>
    <row r="12" customFormat="false" ht="15" hidden="false" customHeight="false" outlineLevel="0" collapsed="false">
      <c r="A12" s="29" t="n">
        <v>4</v>
      </c>
      <c r="B12" s="6" t="s">
        <v>180</v>
      </c>
      <c r="C12" s="30" t="n">
        <v>0</v>
      </c>
      <c r="D12" s="30" t="n">
        <v>0</v>
      </c>
      <c r="E12" s="30" t="n">
        <v>0</v>
      </c>
      <c r="F12" s="30" t="n">
        <v>0</v>
      </c>
      <c r="G12" s="30" t="n">
        <v>0</v>
      </c>
      <c r="H12" s="30" t="n">
        <v>0</v>
      </c>
      <c r="I12" s="31" t="n">
        <f aca="false">SUM(C12:H12)</f>
        <v>0</v>
      </c>
      <c r="J12" s="32" t="s">
        <v>181</v>
      </c>
    </row>
    <row r="13" customFormat="false" ht="15" hidden="false" customHeight="false" outlineLevel="0" collapsed="false">
      <c r="A13" s="29" t="n">
        <v>5</v>
      </c>
      <c r="B13" s="6" t="s">
        <v>182</v>
      </c>
      <c r="C13" s="30" t="n">
        <v>0</v>
      </c>
      <c r="D13" s="30" t="n">
        <v>0</v>
      </c>
      <c r="E13" s="30" t="n">
        <v>0</v>
      </c>
      <c r="F13" s="30" t="n">
        <v>0</v>
      </c>
      <c r="G13" s="30" t="n">
        <v>0</v>
      </c>
      <c r="H13" s="30" t="n">
        <v>0</v>
      </c>
      <c r="I13" s="31" t="n">
        <f aca="false">SUM(C13:H13)</f>
        <v>0</v>
      </c>
      <c r="J13" s="32" t="s">
        <v>107</v>
      </c>
    </row>
    <row r="14" customFormat="false" ht="15" hidden="false" customHeight="false" outlineLevel="0" collapsed="false">
      <c r="A14" s="29" t="n">
        <v>6</v>
      </c>
      <c r="B14" s="7" t="s">
        <v>183</v>
      </c>
      <c r="C14" s="30" t="n">
        <v>0</v>
      </c>
      <c r="D14" s="30" t="n">
        <v>0</v>
      </c>
      <c r="E14" s="30" t="n">
        <v>0</v>
      </c>
      <c r="F14" s="30" t="n">
        <v>0</v>
      </c>
      <c r="G14" s="30" t="n">
        <v>0</v>
      </c>
      <c r="H14" s="30" t="n">
        <v>0</v>
      </c>
      <c r="I14" s="31" t="n">
        <f aca="false">SUM(C14:H14)</f>
        <v>0</v>
      </c>
      <c r="J14" s="32" t="s">
        <v>109</v>
      </c>
    </row>
    <row r="15" customFormat="false" ht="15" hidden="false" customHeight="false" outlineLevel="0" collapsed="false">
      <c r="A15" s="33" t="n">
        <v>7</v>
      </c>
      <c r="B15" s="20" t="s">
        <v>184</v>
      </c>
      <c r="C15" s="34" t="n">
        <f aca="false">SUM(C9:C14)</f>
        <v>2641.090609</v>
      </c>
      <c r="D15" s="34" t="n">
        <f aca="false">SUM(D9:D14)</f>
        <v>190.203878</v>
      </c>
      <c r="E15" s="34" t="n">
        <f aca="false">SUM(E9:E14)</f>
        <v>0</v>
      </c>
      <c r="F15" s="34" t="n">
        <f aca="false">SUM(F9:F14)</f>
        <v>0</v>
      </c>
      <c r="G15" s="34" t="n">
        <f aca="false">SUM(G9:G14)</f>
        <v>249.642589</v>
      </c>
      <c r="H15" s="34" t="n">
        <f aca="false">SUM(H9:H14)</f>
        <v>0</v>
      </c>
      <c r="I15" s="34" t="n">
        <f aca="false">SUM(I9:I14)</f>
        <v>3080.937076</v>
      </c>
      <c r="J15" s="35" t="s">
        <v>112</v>
      </c>
    </row>
    <row r="16" customFormat="false" ht="15" hidden="false" customHeight="true" outlineLevel="0" collapsed="false">
      <c r="A16" s="5" t="s">
        <v>185</v>
      </c>
      <c r="B16" s="5"/>
      <c r="C16" s="5"/>
      <c r="D16" s="5"/>
      <c r="E16" s="5"/>
      <c r="F16" s="5"/>
      <c r="G16" s="5"/>
      <c r="H16" s="5"/>
      <c r="I16" s="5"/>
      <c r="J16" s="5"/>
    </row>
    <row r="17" customFormat="false" ht="15" hidden="false" customHeight="false" outlineLevel="0" collapsed="false">
      <c r="A17" s="17" t="n">
        <v>8</v>
      </c>
      <c r="B17" s="36" t="s">
        <v>186</v>
      </c>
      <c r="C17" s="37" t="n">
        <f aca="false">SUM(C18:C20)</f>
        <v>1230.38133385808</v>
      </c>
      <c r="D17" s="37" t="n">
        <f aca="false">SUM(D18:D20)</f>
        <v>47.5509694244667</v>
      </c>
      <c r="E17" s="37" t="n">
        <f aca="false">SUM(E18:E20)</f>
        <v>0</v>
      </c>
      <c r="F17" s="37" t="n">
        <f aca="false">SUM(F18:F20)</f>
        <v>0</v>
      </c>
      <c r="G17" s="37" t="n">
        <f aca="false">SUM(G18:G20)</f>
        <v>47.5509694244667</v>
      </c>
      <c r="H17" s="37" t="n">
        <f aca="false">SUM(H18:H20)</f>
        <v>0</v>
      </c>
      <c r="I17" s="37" t="n">
        <f aca="false">SUM(C17:H17)</f>
        <v>1325.48327270701</v>
      </c>
      <c r="J17" s="32" t="s">
        <v>187</v>
      </c>
    </row>
    <row r="18" customFormat="false" ht="15" hidden="false" customHeight="false" outlineLevel="0" collapsed="false">
      <c r="A18" s="29"/>
      <c r="B18" s="43" t="s">
        <v>188</v>
      </c>
      <c r="C18" s="31" t="n">
        <f aca="false">SUMIFS($I$46:$I$57,$B$46:$B$57,"Tasting room",$C$46:$C$57,C$7)</f>
        <v>505.229050134959</v>
      </c>
      <c r="D18" s="31" t="n">
        <f aca="false">SUMIFS($I$46:$I$57,$B$46:$B$57,"Tasting room",$C$46:$C$57,D$7)</f>
        <v>47.5509694244667</v>
      </c>
      <c r="E18" s="31" t="n">
        <f aca="false">SUMIFS($I$46:$I$57,$B$46:$B$57,"Tasting room",$C$46:$C$57,E$7)</f>
        <v>0</v>
      </c>
      <c r="F18" s="31" t="n">
        <f aca="false">SUMIFS($I$46:$I$57,$B$46:$B$57,"Tasting room",$C$46:$C$57,F$7)</f>
        <v>0</v>
      </c>
      <c r="G18" s="31" t="n">
        <f aca="false">SUMIFS($I$46:$I$57,$B$46:$B$57,"Tasting room",$C$46:$C$57,G$7)</f>
        <v>0</v>
      </c>
      <c r="H18" s="31" t="n">
        <f aca="false">SUMIFS($I$46:$I$57,$B$46:$B$57,"Tasting room",$C$46:$C$57,H$7)</f>
        <v>0</v>
      </c>
      <c r="I18" s="31" t="n">
        <f aca="false">SUM(C18:H18)</f>
        <v>552.780019559426</v>
      </c>
      <c r="J18" s="11" t="s">
        <v>189</v>
      </c>
    </row>
    <row r="19" customFormat="false" ht="15" hidden="false" customHeight="false" outlineLevel="0" collapsed="false">
      <c r="A19" s="29"/>
      <c r="B19" s="43" t="s">
        <v>190</v>
      </c>
      <c r="C19" s="31" t="n">
        <f aca="false">SUMIFS($I$46:$I$57,$B$46:$B$57,"Wholesale",$C$46:$C$57,C$7)</f>
        <v>618.162602518067</v>
      </c>
      <c r="D19" s="31" t="n">
        <f aca="false">SUMIFS($I$46:$I$57,$B$46:$B$57,"Wholesale",$C$46:$C$57,D$7)</f>
        <v>0</v>
      </c>
      <c r="E19" s="31" t="n">
        <f aca="false">SUMIFS($I$46:$I$57,$B$46:$B$57,"Wholesale",$C$46:$C$57,E$7)</f>
        <v>0</v>
      </c>
      <c r="F19" s="31" t="n">
        <f aca="false">SUMIFS($I$46:$I$57,$B$46:$B$57,"Wholesale",$C$46:$C$57,F$7)</f>
        <v>0</v>
      </c>
      <c r="G19" s="31" t="n">
        <f aca="false">SUMIFS($I$46:$I$57,$B$46:$B$57,"Wholesale",$C$46:$C$57,G$7)</f>
        <v>0</v>
      </c>
      <c r="H19" s="31" t="n">
        <f aca="false">SUMIFS($I$46:$I$57,$B$46:$B$57,"Wholesale",$C$46:$C$57,H$7)</f>
        <v>0</v>
      </c>
      <c r="I19" s="31" t="n">
        <f aca="false">SUM(C19:H19)</f>
        <v>618.162602518067</v>
      </c>
      <c r="J19" s="11" t="s">
        <v>189</v>
      </c>
    </row>
    <row r="20" customFormat="false" ht="15" hidden="false" customHeight="false" outlineLevel="0" collapsed="false">
      <c r="A20" s="29"/>
      <c r="B20" s="43" t="s">
        <v>191</v>
      </c>
      <c r="C20" s="31" t="n">
        <f aca="false">SUMIFS($I$46:$I$57,$B$46:$B$57,"DTC",$C$46:$C$57,C$7)</f>
        <v>106.98968120505</v>
      </c>
      <c r="D20" s="31" t="n">
        <f aca="false">SUMIFS($I$46:$I$57,$B$46:$B$57,"DTC",$C$46:$C$57,D$7)</f>
        <v>0</v>
      </c>
      <c r="E20" s="31" t="n">
        <f aca="false">SUMIFS($I$46:$I$57,$B$46:$B$57,"DTC",$C$46:$C$57,E$7)</f>
        <v>0</v>
      </c>
      <c r="F20" s="31" t="n">
        <f aca="false">SUMIFS($I$46:$I$57,$B$46:$B$57,"DTC",$C$46:$C$57,F$7)</f>
        <v>0</v>
      </c>
      <c r="G20" s="31" t="n">
        <f aca="false">SUMIFS($I$46:$I$57,$B$46:$B$57,"DTC",$C$46:$C$57,G$7)</f>
        <v>47.5509694244667</v>
      </c>
      <c r="H20" s="31" t="n">
        <f aca="false">SUMIFS($I$46:$I$57,$B$46:$B$57,"DTC",$C$46:$C$57,H$7)</f>
        <v>0</v>
      </c>
      <c r="I20" s="31" t="n">
        <f aca="false">SUM(C20:H20)</f>
        <v>154.540650629517</v>
      </c>
      <c r="J20" s="11" t="s">
        <v>189</v>
      </c>
    </row>
    <row r="21" customFormat="false" ht="15" hidden="false" customHeight="false" outlineLevel="0" collapsed="false">
      <c r="A21" s="29" t="n">
        <v>9</v>
      </c>
      <c r="B21" s="6" t="s">
        <v>192</v>
      </c>
      <c r="C21" s="30" t="n">
        <v>0</v>
      </c>
      <c r="D21" s="30" t="n">
        <v>0</v>
      </c>
      <c r="E21" s="30" t="n">
        <v>0</v>
      </c>
      <c r="F21" s="30" t="n">
        <v>0</v>
      </c>
      <c r="G21" s="30" t="n">
        <v>0</v>
      </c>
      <c r="H21" s="30" t="n">
        <v>0</v>
      </c>
      <c r="I21" s="31" t="n">
        <f aca="false">SUM(C21:H21)</f>
        <v>0</v>
      </c>
      <c r="J21" s="32"/>
    </row>
    <row r="22" customFormat="false" ht="15" hidden="false" customHeight="false" outlineLevel="0" collapsed="false">
      <c r="A22" s="29" t="n">
        <v>10</v>
      </c>
      <c r="B22" s="6" t="s">
        <v>193</v>
      </c>
      <c r="C22" s="30" t="n">
        <v>0</v>
      </c>
      <c r="D22" s="30" t="n">
        <v>0</v>
      </c>
      <c r="E22" s="30" t="n">
        <v>0</v>
      </c>
      <c r="F22" s="30" t="n">
        <v>0</v>
      </c>
      <c r="G22" s="30" t="n">
        <v>0</v>
      </c>
      <c r="H22" s="30" t="n">
        <v>0</v>
      </c>
      <c r="I22" s="31" t="n">
        <f aca="false">SUM(C22:H22)</f>
        <v>0</v>
      </c>
      <c r="J22" s="32" t="s">
        <v>194</v>
      </c>
    </row>
    <row r="23" customFormat="false" ht="15" hidden="false" customHeight="false" outlineLevel="0" collapsed="false">
      <c r="A23" s="29" t="n">
        <v>11</v>
      </c>
      <c r="B23" s="6" t="s">
        <v>195</v>
      </c>
      <c r="C23" s="30" t="n">
        <v>3</v>
      </c>
      <c r="D23" s="30" t="n">
        <v>0</v>
      </c>
      <c r="E23" s="30" t="n">
        <v>0</v>
      </c>
      <c r="F23" s="30" t="n">
        <v>0</v>
      </c>
      <c r="G23" s="30" t="n">
        <v>0</v>
      </c>
      <c r="H23" s="30" t="n">
        <v>0</v>
      </c>
      <c r="I23" s="31" t="n">
        <f aca="false">SUM(C23:H23)</f>
        <v>3</v>
      </c>
      <c r="J23" s="32" t="s">
        <v>196</v>
      </c>
    </row>
    <row r="24" customFormat="false" ht="15" hidden="false" customHeight="false" outlineLevel="0" collapsed="false">
      <c r="A24" s="29" t="n">
        <v>12</v>
      </c>
      <c r="B24" s="6" t="s">
        <v>197</v>
      </c>
      <c r="C24" s="30" t="n">
        <v>0</v>
      </c>
      <c r="D24" s="30" t="n">
        <v>0</v>
      </c>
      <c r="E24" s="30" t="n">
        <v>0</v>
      </c>
      <c r="F24" s="30" t="n">
        <v>0</v>
      </c>
      <c r="G24" s="30" t="n">
        <v>0</v>
      </c>
      <c r="H24" s="30" t="n">
        <v>0</v>
      </c>
      <c r="I24" s="31" t="n">
        <f aca="false">SUM(C24:H24)</f>
        <v>0</v>
      </c>
      <c r="J24" s="32"/>
    </row>
    <row r="25" customFormat="false" ht="15" hidden="false" customHeight="false" outlineLevel="0" collapsed="false">
      <c r="A25" s="29" t="n">
        <v>13</v>
      </c>
      <c r="B25" s="6" t="s">
        <v>198</v>
      </c>
      <c r="C25" s="30" t="n">
        <v>0</v>
      </c>
      <c r="D25" s="30" t="n">
        <v>0</v>
      </c>
      <c r="E25" s="30" t="n">
        <v>0</v>
      </c>
      <c r="F25" s="30" t="n">
        <v>0</v>
      </c>
      <c r="G25" s="30" t="n">
        <v>0</v>
      </c>
      <c r="H25" s="30" t="n">
        <v>0</v>
      </c>
      <c r="I25" s="31" t="n">
        <f aca="false">SUM(C25:H25)</f>
        <v>0</v>
      </c>
      <c r="J25" s="32"/>
    </row>
    <row r="26" customFormat="false" ht="15" hidden="false" customHeight="false" outlineLevel="0" collapsed="false">
      <c r="A26" s="29" t="n">
        <v>14</v>
      </c>
      <c r="B26" s="6" t="s">
        <v>132</v>
      </c>
      <c r="C26" s="30" t="n">
        <v>0</v>
      </c>
      <c r="D26" s="30" t="n">
        <v>0</v>
      </c>
      <c r="E26" s="30" t="n">
        <v>0</v>
      </c>
      <c r="F26" s="30" t="n">
        <v>0</v>
      </c>
      <c r="G26" s="30" t="n">
        <v>0</v>
      </c>
      <c r="H26" s="30" t="n">
        <v>0</v>
      </c>
      <c r="I26" s="31" t="n">
        <f aca="false">SUM(C26:H26)</f>
        <v>0</v>
      </c>
      <c r="J26" s="32"/>
    </row>
    <row r="27" customFormat="false" ht="15" hidden="false" customHeight="false" outlineLevel="0" collapsed="false">
      <c r="A27" s="29" t="n">
        <v>15</v>
      </c>
      <c r="B27" s="6" t="s">
        <v>199</v>
      </c>
      <c r="C27" s="30" t="n">
        <v>0</v>
      </c>
      <c r="D27" s="30" t="n">
        <v>0</v>
      </c>
      <c r="E27" s="30" t="n">
        <v>0</v>
      </c>
      <c r="F27" s="30" t="n">
        <v>0</v>
      </c>
      <c r="G27" s="30" t="n">
        <v>0</v>
      </c>
      <c r="H27" s="30" t="n">
        <v>0</v>
      </c>
      <c r="I27" s="31" t="n">
        <f aca="false">SUM(C27:H27)</f>
        <v>0</v>
      </c>
      <c r="J27" s="32" t="s">
        <v>200</v>
      </c>
    </row>
    <row r="28" customFormat="false" ht="15" hidden="false" customHeight="false" outlineLevel="0" collapsed="false">
      <c r="A28" s="29" t="n">
        <v>16</v>
      </c>
      <c r="B28" s="7" t="s">
        <v>183</v>
      </c>
      <c r="C28" s="30" t="n">
        <v>0</v>
      </c>
      <c r="D28" s="30" t="n">
        <v>0</v>
      </c>
      <c r="E28" s="30" t="n">
        <v>0</v>
      </c>
      <c r="F28" s="30" t="n">
        <v>0</v>
      </c>
      <c r="G28" s="30" t="n">
        <v>0</v>
      </c>
      <c r="H28" s="30" t="n">
        <v>0</v>
      </c>
      <c r="I28" s="31" t="n">
        <f aca="false">SUM(C28:H28)</f>
        <v>0</v>
      </c>
      <c r="J28" s="32" t="s">
        <v>109</v>
      </c>
    </row>
    <row r="29" customFormat="false" ht="15" hidden="false" customHeight="false" outlineLevel="0" collapsed="false">
      <c r="A29" s="29" t="n">
        <v>17</v>
      </c>
      <c r="B29" s="7" t="s">
        <v>183</v>
      </c>
      <c r="C29" s="30" t="n">
        <v>0</v>
      </c>
      <c r="D29" s="30" t="n">
        <v>0</v>
      </c>
      <c r="E29" s="30" t="n">
        <v>0</v>
      </c>
      <c r="F29" s="30" t="n">
        <v>0</v>
      </c>
      <c r="G29" s="30" t="n">
        <v>0</v>
      </c>
      <c r="H29" s="30" t="n">
        <v>0</v>
      </c>
      <c r="I29" s="31" t="n">
        <f aca="false">SUM(C29:H29)</f>
        <v>0</v>
      </c>
      <c r="J29" s="32" t="s">
        <v>109</v>
      </c>
    </row>
    <row r="30" customFormat="false" ht="15" hidden="false" customHeight="false" outlineLevel="0" collapsed="false">
      <c r="A30" s="29" t="n">
        <v>18</v>
      </c>
      <c r="B30" s="6" t="s">
        <v>201</v>
      </c>
      <c r="C30" s="30" t="n">
        <v>2.38</v>
      </c>
      <c r="D30" s="30" t="n">
        <v>0</v>
      </c>
      <c r="E30" s="30" t="n">
        <v>0</v>
      </c>
      <c r="F30" s="30" t="n">
        <v>0</v>
      </c>
      <c r="G30" s="30" t="n">
        <v>0</v>
      </c>
      <c r="H30" s="30" t="n">
        <v>0</v>
      </c>
      <c r="I30" s="31" t="n">
        <f aca="false">SUM(C30:H30)</f>
        <v>2.38</v>
      </c>
      <c r="J30" s="32" t="s">
        <v>202</v>
      </c>
    </row>
    <row r="31" customFormat="false" ht="15" hidden="false" customHeight="false" outlineLevel="0" collapsed="false">
      <c r="A31" s="29" t="n">
        <v>19</v>
      </c>
      <c r="B31" s="6" t="s">
        <v>203</v>
      </c>
      <c r="C31" s="30" t="n">
        <v>0</v>
      </c>
      <c r="D31" s="30" t="n">
        <v>0</v>
      </c>
      <c r="E31" s="30" t="n">
        <v>0</v>
      </c>
      <c r="F31" s="30" t="n">
        <v>0</v>
      </c>
      <c r="G31" s="30" t="n">
        <v>0</v>
      </c>
      <c r="H31" s="30" t="n">
        <v>0</v>
      </c>
      <c r="I31" s="31" t="n">
        <f aca="false">SUM(C31:H31)</f>
        <v>0</v>
      </c>
      <c r="J31" s="32" t="s">
        <v>204</v>
      </c>
    </row>
    <row r="32" customFormat="false" ht="22.35" hidden="false" customHeight="false" outlineLevel="0" collapsed="false">
      <c r="A32" s="17" t="n">
        <v>20</v>
      </c>
      <c r="B32" s="36" t="s">
        <v>205</v>
      </c>
      <c r="C32" s="37" t="n">
        <f aca="false">SUMIF($C$62:$C$73,C$7,$I$62:$I$73)</f>
        <v>1405.32927553226</v>
      </c>
      <c r="D32" s="37" t="n">
        <f aca="false">SUMIF($C$62:$C$73,D$7,$I$62:$I$73)</f>
        <v>142.6529082734</v>
      </c>
      <c r="E32" s="37" t="n">
        <f aca="false">SUMIF($C$62:$C$73,E$7,$I$62:$I$73)</f>
        <v>0</v>
      </c>
      <c r="F32" s="37" t="n">
        <f aca="false">SUMIF($C$62:$C$73,F$7,$I$62:$I$73)</f>
        <v>0</v>
      </c>
      <c r="G32" s="37" t="n">
        <f aca="false">SUMIF($C$62:$C$73,G$7,$I$62:$I$73)</f>
        <v>202.091620053984</v>
      </c>
      <c r="H32" s="37" t="n">
        <f aca="false">SUMIF($C$62:$C$73,H$7,$I$62:$I$73)</f>
        <v>0</v>
      </c>
      <c r="I32" s="37" t="n">
        <f aca="false">SUM(C32:H32)</f>
        <v>1750.07380385964</v>
      </c>
      <c r="J32" s="32" t="s">
        <v>206</v>
      </c>
    </row>
    <row r="33" customFormat="false" ht="15" hidden="false" customHeight="false" outlineLevel="0" collapsed="false">
      <c r="A33" s="33" t="n">
        <v>21</v>
      </c>
      <c r="B33" s="20" t="s">
        <v>207</v>
      </c>
      <c r="C33" s="34" t="n">
        <f aca="false">C17+SUM(C21:C32)</f>
        <v>2641.09060939034</v>
      </c>
      <c r="D33" s="34" t="n">
        <f aca="false">D17+SUM(D21:D32)</f>
        <v>190.203877697867</v>
      </c>
      <c r="E33" s="34" t="n">
        <f aca="false">E17+SUM(E21:E32)</f>
        <v>0</v>
      </c>
      <c r="F33" s="34" t="n">
        <f aca="false">F17+SUM(F21:F32)</f>
        <v>0</v>
      </c>
      <c r="G33" s="34" t="n">
        <f aca="false">G17+SUM(G21:G32)</f>
        <v>249.64258947845</v>
      </c>
      <c r="H33" s="34" t="n">
        <f aca="false">H17+SUM(H21:H32)</f>
        <v>0</v>
      </c>
      <c r="I33" s="34" t="n">
        <f aca="false">I17+SUM(I21:I32)</f>
        <v>3080.93707656665</v>
      </c>
      <c r="J33" s="35" t="s">
        <v>208</v>
      </c>
    </row>
    <row r="35" customFormat="false" ht="15" hidden="false" customHeight="true" outlineLevel="0" collapsed="false">
      <c r="A35" s="5" t="s">
        <v>145</v>
      </c>
      <c r="B35" s="5"/>
      <c r="C35" s="5"/>
      <c r="D35" s="5"/>
      <c r="E35" s="5"/>
      <c r="F35" s="5"/>
      <c r="G35" s="5"/>
      <c r="H35" s="5"/>
      <c r="I35" s="5"/>
      <c r="J35" s="5"/>
    </row>
    <row r="36" customFormat="false" ht="15" hidden="false" customHeight="false" outlineLevel="0" collapsed="false">
      <c r="B36" s="6" t="s">
        <v>209</v>
      </c>
      <c r="C36" s="38" t="n">
        <f aca="false">ROUND(C15-C33,2)+0</f>
        <v>0</v>
      </c>
      <c r="D36" s="38" t="n">
        <f aca="false">ROUND(D15-D33,2)+0</f>
        <v>0</v>
      </c>
      <c r="E36" s="38" t="n">
        <f aca="false">ROUND(E15-E33,2)+0</f>
        <v>0</v>
      </c>
      <c r="F36" s="38" t="n">
        <f aca="false">ROUND(F15-F33,2)+0</f>
        <v>0</v>
      </c>
      <c r="G36" s="38" t="n">
        <f aca="false">ROUND(G15-G33,2)+0</f>
        <v>0</v>
      </c>
      <c r="H36" s="38" t="n">
        <f aca="false">ROUND(H15-H33,2)+0</f>
        <v>0</v>
      </c>
      <c r="I36" s="38" t="n">
        <f aca="false">ROUND(I15-I33,2)+0</f>
        <v>0</v>
      </c>
    </row>
    <row r="37" customFormat="false" ht="15" hidden="false" customHeight="false" outlineLevel="0" collapsed="false">
      <c r="B37" s="36" t="s">
        <v>210</v>
      </c>
      <c r="C37" s="17" t="str">
        <f aca="false">IF(ROUND(C36,2)=0,"✓ PASS","✗ FAIL")</f>
        <v>✓ PASS</v>
      </c>
      <c r="D37" s="17" t="str">
        <f aca="false">IF(ROUND(D36,2)=0,"✓ PASS","✗ FAIL")</f>
        <v>✓ PASS</v>
      </c>
      <c r="E37" s="17" t="str">
        <f aca="false">IF(ROUND(E36,2)=0,"✓ PASS","✗ FAIL")</f>
        <v>✓ PASS</v>
      </c>
      <c r="F37" s="17" t="str">
        <f aca="false">IF(ROUND(F36,2)=0,"✓ PASS","✗ FAIL")</f>
        <v>✓ PASS</v>
      </c>
      <c r="G37" s="17" t="str">
        <f aca="false">IF(ROUND(G36,2)=0,"✓ PASS","✗ FAIL")</f>
        <v>✓ PASS</v>
      </c>
      <c r="H37" s="17" t="str">
        <f aca="false">IF(ROUND(H36,2)=0,"✓ PASS","✗ FAIL")</f>
        <v>✓ PASS</v>
      </c>
      <c r="I37" s="17" t="str">
        <f aca="false">IF(COUNTIF(C37:H37,"✓ PASS")=6,"✓ PASS","✗ FAIL")</f>
        <v>✓ PASS</v>
      </c>
    </row>
    <row r="38" customFormat="false" ht="15" hidden="false" customHeight="false" outlineLevel="0" collapsed="false">
      <c r="B38" s="6" t="s">
        <v>211</v>
      </c>
      <c r="C38" s="38" t="n">
        <f aca="false">ROUND('2_Bulk_Wine_5120_17_SecA'!C22-C10,2)+0</f>
        <v>0</v>
      </c>
      <c r="D38" s="38" t="n">
        <f aca="false">ROUND('2_Bulk_Wine_5120_17_SecA'!D22-D10,2)+0</f>
        <v>0</v>
      </c>
      <c r="E38" s="38" t="n">
        <f aca="false">ROUND('2_Bulk_Wine_5120_17_SecA'!E22-E10,2)+0</f>
        <v>0</v>
      </c>
      <c r="F38" s="38" t="n">
        <f aca="false">ROUND('2_Bulk_Wine_5120_17_SecA'!F22-F10,2)+0</f>
        <v>0</v>
      </c>
      <c r="G38" s="38" t="n">
        <f aca="false">ROUND('2_Bulk_Wine_5120_17_SecA'!G22-G10,2)+0</f>
        <v>0</v>
      </c>
      <c r="H38" s="38" t="n">
        <f aca="false">ROUND('2_Bulk_Wine_5120_17_SecA'!H22-H10,2)+0</f>
        <v>0</v>
      </c>
      <c r="I38" s="38" t="n">
        <f aca="false">ROUND(SUM(C38:H38),2)+0</f>
        <v>0</v>
      </c>
      <c r="J38" s="32" t="s">
        <v>212</v>
      </c>
    </row>
    <row r="39" customFormat="false" ht="15" hidden="false" customHeight="false" outlineLevel="0" collapsed="false">
      <c r="B39" s="36" t="s">
        <v>213</v>
      </c>
      <c r="C39" s="17" t="str">
        <f aca="false">IF(ROUND(C38,2)=0,"✓ PASS","✗ FAIL")</f>
        <v>✓ PASS</v>
      </c>
      <c r="D39" s="17" t="str">
        <f aca="false">IF(ROUND(D38,2)=0,"✓ PASS","✗ FAIL")</f>
        <v>✓ PASS</v>
      </c>
      <c r="E39" s="17" t="str">
        <f aca="false">IF(ROUND(E38,2)=0,"✓ PASS","✗ FAIL")</f>
        <v>✓ PASS</v>
      </c>
      <c r="F39" s="17" t="str">
        <f aca="false">IF(ROUND(F38,2)=0,"✓ PASS","✗ FAIL")</f>
        <v>✓ PASS</v>
      </c>
      <c r="G39" s="17" t="str">
        <f aca="false">IF(ROUND(G38,2)=0,"✓ PASS","✗ FAIL")</f>
        <v>✓ PASS</v>
      </c>
      <c r="H39" s="17" t="str">
        <f aca="false">IF(ROUND(H38,2)=0,"✓ PASS","✗ FAIL")</f>
        <v>✓ PASS</v>
      </c>
      <c r="I39" s="17" t="str">
        <f aca="false">IF(COUNTIF(C39:H39,"✓ PASS")=6,"✓ PASS","✗ FAIL")</f>
        <v>✓ PASS</v>
      </c>
    </row>
    <row r="40" customFormat="false" ht="15" hidden="false" customHeight="false" outlineLevel="0" collapsed="false">
      <c r="B40" s="6" t="s">
        <v>214</v>
      </c>
      <c r="C40" s="30" t="n">
        <v>1191.090609</v>
      </c>
      <c r="D40" s="30" t="n">
        <v>160.203878</v>
      </c>
      <c r="E40" s="30" t="n">
        <v>0</v>
      </c>
      <c r="F40" s="30" t="n">
        <v>0</v>
      </c>
      <c r="G40" s="30" t="n">
        <v>189.642589</v>
      </c>
      <c r="H40" s="30" t="n">
        <v>0</v>
      </c>
      <c r="I40" s="31" t="n">
        <f aca="false">SUM(C40:H40)</f>
        <v>1540.937076</v>
      </c>
    </row>
    <row r="41" customFormat="false" ht="15" hidden="false" customHeight="false" outlineLevel="0" collapsed="false">
      <c r="B41" s="6" t="s">
        <v>215</v>
      </c>
      <c r="C41" s="38" t="n">
        <f aca="false">ROUND(C9-C40,2)+0</f>
        <v>0</v>
      </c>
      <c r="D41" s="38" t="n">
        <f aca="false">ROUND(D9-D40,2)+0</f>
        <v>0</v>
      </c>
      <c r="E41" s="38" t="n">
        <f aca="false">ROUND(E9-E40,2)+0</f>
        <v>0</v>
      </c>
      <c r="F41" s="38" t="n">
        <f aca="false">ROUND(F9-F40,2)+0</f>
        <v>0</v>
      </c>
      <c r="G41" s="38" t="n">
        <f aca="false">ROUND(G9-G40,2)+0</f>
        <v>0</v>
      </c>
      <c r="H41" s="38" t="n">
        <f aca="false">ROUND(H9-H40,2)+0</f>
        <v>0</v>
      </c>
      <c r="I41" s="38" t="n">
        <f aca="false">ROUND(I9-I40,2)+0</f>
        <v>0</v>
      </c>
    </row>
    <row r="42" customFormat="false" ht="15" hidden="false" customHeight="false" outlineLevel="0" collapsed="false">
      <c r="B42" s="36" t="s">
        <v>154</v>
      </c>
      <c r="C42" s="17" t="str">
        <f aca="false">IF(ROUND(C41,2)=0,"✓ PASS","✗ FAIL")</f>
        <v>✓ PASS</v>
      </c>
      <c r="D42" s="17" t="str">
        <f aca="false">IF(ROUND(D41,2)=0,"✓ PASS","✗ FAIL")</f>
        <v>✓ PASS</v>
      </c>
      <c r="E42" s="17" t="str">
        <f aca="false">IF(ROUND(E41,2)=0,"✓ PASS","✗ FAIL")</f>
        <v>✓ PASS</v>
      </c>
      <c r="F42" s="17" t="str">
        <f aca="false">IF(ROUND(F41,2)=0,"✓ PASS","✗ FAIL")</f>
        <v>✓ PASS</v>
      </c>
      <c r="G42" s="17" t="str">
        <f aca="false">IF(ROUND(G41,2)=0,"✓ PASS","✗ FAIL")</f>
        <v>✓ PASS</v>
      </c>
      <c r="H42" s="17" t="str">
        <f aca="false">IF(ROUND(H41,2)=0,"✓ PASS","✗ FAIL")</f>
        <v>✓ PASS</v>
      </c>
      <c r="I42" s="17" t="str">
        <f aca="false">IF(COUNTIF(C42:H42,"✓ PASS")=6,"✓ PASS","✗ FAIL")</f>
        <v>✓ PASS</v>
      </c>
    </row>
    <row r="44" customFormat="false" ht="15" hidden="false" customHeight="true" outlineLevel="0" collapsed="false">
      <c r="A44" s="22" t="s">
        <v>216</v>
      </c>
      <c r="B44" s="22"/>
      <c r="C44" s="22"/>
      <c r="D44" s="22"/>
      <c r="E44" s="22"/>
      <c r="F44" s="22"/>
      <c r="G44" s="22"/>
      <c r="H44" s="22"/>
      <c r="I44" s="22"/>
      <c r="J44" s="22"/>
    </row>
    <row r="45" customFormat="false" ht="30" hidden="false" customHeight="true" outlineLevel="0" collapsed="false">
      <c r="A45" s="39" t="s">
        <v>156</v>
      </c>
      <c r="B45" s="39" t="s">
        <v>217</v>
      </c>
      <c r="C45" s="39" t="s">
        <v>159</v>
      </c>
      <c r="D45" s="39" t="s">
        <v>218</v>
      </c>
      <c r="E45" s="39" t="s">
        <v>219</v>
      </c>
      <c r="F45" s="39" t="s">
        <v>220</v>
      </c>
      <c r="G45" s="39" t="s">
        <v>221</v>
      </c>
      <c r="H45" s="39" t="s">
        <v>222</v>
      </c>
      <c r="I45" s="39" t="s">
        <v>223</v>
      </c>
      <c r="J45" s="39" t="s">
        <v>224</v>
      </c>
    </row>
    <row r="46" customFormat="false" ht="15" hidden="false" customHeight="false" outlineLevel="0" collapsed="false">
      <c r="A46" s="40" t="n">
        <v>1</v>
      </c>
      <c r="B46" s="7" t="s">
        <v>225</v>
      </c>
      <c r="C46" s="7" t="s">
        <v>83</v>
      </c>
      <c r="D46" s="41" t="n">
        <v>750</v>
      </c>
      <c r="E46" s="41" t="n">
        <v>12</v>
      </c>
      <c r="F46" s="41" t="n">
        <v>210</v>
      </c>
      <c r="G46" s="41" t="n">
        <v>30</v>
      </c>
      <c r="H46" s="30"/>
      <c r="I46" s="31" t="n">
        <f aca="false">(N(F46)*N(E46)+N(G46))*N(D46)/'4_Excise_&amp;_CBMA_5000_24'!$B$21+N(H46)</f>
        <v>505.229050134959</v>
      </c>
      <c r="J46" s="44" t="s">
        <v>226</v>
      </c>
    </row>
    <row r="47" customFormat="false" ht="15" hidden="false" customHeight="false" outlineLevel="0" collapsed="false">
      <c r="A47" s="40" t="n">
        <v>2</v>
      </c>
      <c r="B47" s="7" t="s">
        <v>227</v>
      </c>
      <c r="C47" s="7" t="s">
        <v>83</v>
      </c>
      <c r="D47" s="41" t="n">
        <v>750</v>
      </c>
      <c r="E47" s="41" t="n">
        <v>12</v>
      </c>
      <c r="F47" s="41" t="n">
        <v>260</v>
      </c>
      <c r="G47" s="41"/>
      <c r="H47" s="30"/>
      <c r="I47" s="31" t="n">
        <f aca="false">(N(F47)*N(E47)+N(G47))*N(D47)/'4_Excise_&amp;_CBMA_5000_24'!$B$21+N(H47)</f>
        <v>618.162602518067</v>
      </c>
      <c r="J47" s="44" t="s">
        <v>228</v>
      </c>
    </row>
    <row r="48" customFormat="false" ht="15" hidden="false" customHeight="false" outlineLevel="0" collapsed="false">
      <c r="A48" s="40" t="n">
        <v>3</v>
      </c>
      <c r="B48" s="7" t="s">
        <v>229</v>
      </c>
      <c r="C48" s="7" t="s">
        <v>83</v>
      </c>
      <c r="D48" s="41" t="n">
        <v>750</v>
      </c>
      <c r="E48" s="41" t="n">
        <v>12</v>
      </c>
      <c r="F48" s="41" t="n">
        <v>45</v>
      </c>
      <c r="G48" s="41"/>
      <c r="H48" s="30"/>
      <c r="I48" s="31" t="n">
        <f aca="false">(N(F48)*N(E48)+N(G48))*N(D48)/'4_Excise_&amp;_CBMA_5000_24'!$B$21+N(H48)</f>
        <v>106.98968120505</v>
      </c>
      <c r="J48" s="44" t="s">
        <v>230</v>
      </c>
    </row>
    <row r="49" customFormat="false" ht="15" hidden="false" customHeight="false" outlineLevel="0" collapsed="false">
      <c r="A49" s="40" t="n">
        <v>4</v>
      </c>
      <c r="B49" s="7" t="s">
        <v>225</v>
      </c>
      <c r="C49" s="7" t="s">
        <v>84</v>
      </c>
      <c r="D49" s="41" t="n">
        <v>375</v>
      </c>
      <c r="E49" s="41" t="n">
        <v>12</v>
      </c>
      <c r="F49" s="41" t="n">
        <v>40</v>
      </c>
      <c r="G49" s="41"/>
      <c r="H49" s="30"/>
      <c r="I49" s="31" t="n">
        <f aca="false">(N(F49)*N(E49)+N(G49))*N(D49)/'4_Excise_&amp;_CBMA_5000_24'!$B$21+N(H49)</f>
        <v>47.5509694244667</v>
      </c>
      <c r="J49" s="44" t="s">
        <v>231</v>
      </c>
    </row>
    <row r="50" customFormat="false" ht="15" hidden="false" customHeight="false" outlineLevel="0" collapsed="false">
      <c r="A50" s="40" t="n">
        <v>5</v>
      </c>
      <c r="B50" s="7" t="s">
        <v>229</v>
      </c>
      <c r="C50" s="7" t="s">
        <v>87</v>
      </c>
      <c r="D50" s="41" t="n">
        <v>750</v>
      </c>
      <c r="E50" s="41" t="n">
        <v>12</v>
      </c>
      <c r="F50" s="41" t="n">
        <v>20</v>
      </c>
      <c r="G50" s="41"/>
      <c r="H50" s="30"/>
      <c r="I50" s="31" t="n">
        <f aca="false">(N(F50)*N(E50)+N(G50))*N(D50)/'4_Excise_&amp;_CBMA_5000_24'!$B$21+N(H50)</f>
        <v>47.5509694244667</v>
      </c>
      <c r="J50" s="44" t="s">
        <v>232</v>
      </c>
    </row>
    <row r="51" customFormat="false" ht="15" hidden="false" customHeight="false" outlineLevel="0" collapsed="false">
      <c r="A51" s="40" t="n">
        <v>6</v>
      </c>
      <c r="B51" s="7"/>
      <c r="C51" s="7"/>
      <c r="D51" s="41"/>
      <c r="E51" s="41"/>
      <c r="F51" s="41"/>
      <c r="G51" s="41"/>
      <c r="H51" s="30"/>
      <c r="I51" s="31" t="n">
        <f aca="false">(N(F51)*N(E51)+N(G51))*N(D51)/'4_Excise_&amp;_CBMA_5000_24'!$B$21+N(H51)</f>
        <v>0</v>
      </c>
      <c r="J51" s="44"/>
    </row>
    <row r="52" customFormat="false" ht="15" hidden="false" customHeight="false" outlineLevel="0" collapsed="false">
      <c r="A52" s="40" t="n">
        <v>7</v>
      </c>
      <c r="B52" s="7"/>
      <c r="C52" s="7"/>
      <c r="D52" s="41"/>
      <c r="E52" s="41"/>
      <c r="F52" s="41"/>
      <c r="G52" s="41"/>
      <c r="H52" s="30"/>
      <c r="I52" s="31" t="n">
        <f aca="false">(N(F52)*N(E52)+N(G52))*N(D52)/'4_Excise_&amp;_CBMA_5000_24'!$B$21+N(H52)</f>
        <v>0</v>
      </c>
      <c r="J52" s="44"/>
    </row>
    <row r="53" customFormat="false" ht="15" hidden="false" customHeight="false" outlineLevel="0" collapsed="false">
      <c r="A53" s="40" t="n">
        <v>8</v>
      </c>
      <c r="B53" s="7"/>
      <c r="C53" s="7"/>
      <c r="D53" s="41"/>
      <c r="E53" s="41"/>
      <c r="F53" s="41"/>
      <c r="G53" s="41"/>
      <c r="H53" s="30"/>
      <c r="I53" s="31" t="n">
        <f aca="false">(N(F53)*N(E53)+N(G53))*N(D53)/'4_Excise_&amp;_CBMA_5000_24'!$B$21+N(H53)</f>
        <v>0</v>
      </c>
      <c r="J53" s="44"/>
    </row>
    <row r="54" customFormat="false" ht="15" hidden="false" customHeight="false" outlineLevel="0" collapsed="false">
      <c r="A54" s="40" t="n">
        <v>9</v>
      </c>
      <c r="B54" s="7"/>
      <c r="C54" s="7"/>
      <c r="D54" s="41"/>
      <c r="E54" s="41"/>
      <c r="F54" s="41"/>
      <c r="G54" s="41"/>
      <c r="H54" s="30"/>
      <c r="I54" s="31" t="n">
        <f aca="false">(N(F54)*N(E54)+N(G54))*N(D54)/'4_Excise_&amp;_CBMA_5000_24'!$B$21+N(H54)</f>
        <v>0</v>
      </c>
      <c r="J54" s="44"/>
    </row>
    <row r="55" customFormat="false" ht="15" hidden="false" customHeight="false" outlineLevel="0" collapsed="false">
      <c r="A55" s="40" t="n">
        <v>10</v>
      </c>
      <c r="B55" s="7"/>
      <c r="C55" s="7"/>
      <c r="D55" s="41"/>
      <c r="E55" s="41"/>
      <c r="F55" s="41"/>
      <c r="G55" s="41"/>
      <c r="H55" s="30"/>
      <c r="I55" s="31" t="n">
        <f aca="false">(N(F55)*N(E55)+N(G55))*N(D55)/'4_Excise_&amp;_CBMA_5000_24'!$B$21+N(H55)</f>
        <v>0</v>
      </c>
      <c r="J55" s="44"/>
    </row>
    <row r="56" customFormat="false" ht="15" hidden="false" customHeight="false" outlineLevel="0" collapsed="false">
      <c r="A56" s="40" t="n">
        <v>11</v>
      </c>
      <c r="B56" s="7"/>
      <c r="C56" s="7"/>
      <c r="D56" s="41"/>
      <c r="E56" s="41"/>
      <c r="F56" s="41"/>
      <c r="G56" s="41"/>
      <c r="H56" s="30"/>
      <c r="I56" s="31" t="n">
        <f aca="false">(N(F56)*N(E56)+N(G56))*N(D56)/'4_Excise_&amp;_CBMA_5000_24'!$B$21+N(H56)</f>
        <v>0</v>
      </c>
      <c r="J56" s="44"/>
    </row>
    <row r="57" customFormat="false" ht="15" hidden="false" customHeight="false" outlineLevel="0" collapsed="false">
      <c r="A57" s="40" t="n">
        <v>12</v>
      </c>
      <c r="B57" s="7"/>
      <c r="C57" s="7"/>
      <c r="D57" s="41"/>
      <c r="E57" s="41"/>
      <c r="F57" s="41"/>
      <c r="G57" s="41"/>
      <c r="H57" s="30"/>
      <c r="I57" s="31" t="n">
        <f aca="false">(N(F57)*N(E57)+N(G57))*N(D57)/'4_Excise_&amp;_CBMA_5000_24'!$B$21+N(H57)</f>
        <v>0</v>
      </c>
      <c r="J57" s="44"/>
    </row>
    <row r="58" customFormat="false" ht="15" hidden="false" customHeight="false" outlineLevel="0" collapsed="false">
      <c r="H58" s="20" t="s">
        <v>233</v>
      </c>
      <c r="I58" s="34" t="n">
        <f aca="false">SUM(I46:I57)</f>
        <v>1325.48327270701</v>
      </c>
    </row>
    <row r="60" customFormat="false" ht="15" hidden="false" customHeight="true" outlineLevel="0" collapsed="false">
      <c r="A60" s="22" t="s">
        <v>234</v>
      </c>
      <c r="B60" s="22"/>
      <c r="C60" s="22"/>
      <c r="D60" s="22"/>
      <c r="E60" s="22"/>
      <c r="F60" s="22"/>
      <c r="G60" s="22"/>
      <c r="H60" s="22"/>
      <c r="I60" s="22"/>
      <c r="J60" s="22"/>
    </row>
    <row r="61" customFormat="false" ht="30" hidden="false" customHeight="true" outlineLevel="0" collapsed="false">
      <c r="A61" s="39" t="s">
        <v>156</v>
      </c>
      <c r="B61" s="39" t="s">
        <v>235</v>
      </c>
      <c r="C61" s="39" t="s">
        <v>159</v>
      </c>
      <c r="D61" s="39" t="s">
        <v>218</v>
      </c>
      <c r="E61" s="39" t="s">
        <v>219</v>
      </c>
      <c r="F61" s="39" t="s">
        <v>236</v>
      </c>
      <c r="G61" s="39" t="s">
        <v>237</v>
      </c>
      <c r="H61" s="39" t="s">
        <v>221</v>
      </c>
      <c r="I61" s="39" t="s">
        <v>223</v>
      </c>
      <c r="J61" s="39" t="s">
        <v>37</v>
      </c>
    </row>
    <row r="62" customFormat="false" ht="15" hidden="false" customHeight="false" outlineLevel="0" collapsed="false">
      <c r="A62" s="40" t="n">
        <v>1</v>
      </c>
      <c r="B62" s="7" t="s">
        <v>238</v>
      </c>
      <c r="C62" s="7" t="s">
        <v>83</v>
      </c>
      <c r="D62" s="41" t="n">
        <v>750</v>
      </c>
      <c r="E62" s="41" t="n">
        <v>12</v>
      </c>
      <c r="F62" s="45" t="n">
        <f aca="false">N(D62)*N(E62)/'4_Excise_&amp;_CBMA_5000_24'!$B$21</f>
        <v>2.37754847122334</v>
      </c>
      <c r="G62" s="41" t="n">
        <v>260</v>
      </c>
      <c r="H62" s="41" t="n">
        <v>5</v>
      </c>
      <c r="I62" s="31" t="n">
        <f aca="false">N(G62)*N(F62)+N(H62)*N(D62)/'4_Excise_&amp;_CBMA_5000_24'!$B$21</f>
        <v>619.15324771441</v>
      </c>
      <c r="J62" s="44"/>
    </row>
    <row r="63" customFormat="false" ht="15" hidden="false" customHeight="false" outlineLevel="0" collapsed="false">
      <c r="A63" s="40" t="n">
        <v>2</v>
      </c>
      <c r="B63" s="7" t="s">
        <v>239</v>
      </c>
      <c r="C63" s="7" t="s">
        <v>83</v>
      </c>
      <c r="D63" s="41" t="n">
        <v>750</v>
      </c>
      <c r="E63" s="41" t="n">
        <v>12</v>
      </c>
      <c r="F63" s="45" t="n">
        <f aca="false">N(D63)*N(E63)/'4_Excise_&amp;_CBMA_5000_24'!$B$21</f>
        <v>2.37754847122334</v>
      </c>
      <c r="G63" s="41" t="n">
        <v>140</v>
      </c>
      <c r="H63" s="41"/>
      <c r="I63" s="31" t="n">
        <f aca="false">N(G63)*N(F63)+N(H63)*N(D63)/'4_Excise_&amp;_CBMA_5000_24'!$B$21</f>
        <v>332.856785971267</v>
      </c>
      <c r="J63" s="44"/>
    </row>
    <row r="64" customFormat="false" ht="15" hidden="false" customHeight="false" outlineLevel="0" collapsed="false">
      <c r="A64" s="40" t="n">
        <v>3</v>
      </c>
      <c r="B64" s="7" t="s">
        <v>240</v>
      </c>
      <c r="C64" s="7" t="s">
        <v>83</v>
      </c>
      <c r="D64" s="41" t="n">
        <v>750</v>
      </c>
      <c r="E64" s="41" t="n">
        <v>12</v>
      </c>
      <c r="F64" s="45" t="n">
        <f aca="false">N(D64)*N(E64)/'4_Excise_&amp;_CBMA_5000_24'!$B$21</f>
        <v>2.37754847122334</v>
      </c>
      <c r="G64" s="41" t="n">
        <v>180</v>
      </c>
      <c r="H64" s="41" t="n">
        <v>8</v>
      </c>
      <c r="I64" s="31" t="n">
        <f aca="false">N(G64)*N(F64)+N(H64)*N(D64)/'4_Excise_&amp;_CBMA_5000_24'!$B$21</f>
        <v>429.543757134349</v>
      </c>
      <c r="J64" s="44"/>
    </row>
    <row r="65" customFormat="false" ht="15" hidden="false" customHeight="false" outlineLevel="0" collapsed="false">
      <c r="A65" s="40" t="n">
        <v>4</v>
      </c>
      <c r="B65" s="7" t="s">
        <v>241</v>
      </c>
      <c r="C65" s="7" t="s">
        <v>83</v>
      </c>
      <c r="D65" s="41" t="n">
        <v>1500</v>
      </c>
      <c r="E65" s="41" t="n">
        <v>6</v>
      </c>
      <c r="F65" s="45" t="n">
        <f aca="false">N(D65)*N(E65)/'4_Excise_&amp;_CBMA_5000_24'!$B$21</f>
        <v>2.37754847122334</v>
      </c>
      <c r="G65" s="41" t="n">
        <v>10</v>
      </c>
      <c r="H65" s="41"/>
      <c r="I65" s="31" t="n">
        <f aca="false">N(G65)*N(F65)+N(H65)*N(D65)/'4_Excise_&amp;_CBMA_5000_24'!$B$21</f>
        <v>23.7754847122334</v>
      </c>
      <c r="J65" s="44"/>
    </row>
    <row r="66" customFormat="false" ht="15" hidden="false" customHeight="false" outlineLevel="0" collapsed="false">
      <c r="A66" s="40" t="n">
        <v>5</v>
      </c>
      <c r="B66" s="7" t="s">
        <v>242</v>
      </c>
      <c r="C66" s="7" t="s">
        <v>84</v>
      </c>
      <c r="D66" s="41" t="n">
        <v>375</v>
      </c>
      <c r="E66" s="41" t="n">
        <v>12</v>
      </c>
      <c r="F66" s="45" t="n">
        <f aca="false">N(D66)*N(E66)/'4_Excise_&amp;_CBMA_5000_24'!$B$21</f>
        <v>1.18877423561167</v>
      </c>
      <c r="G66" s="41" t="n">
        <v>120</v>
      </c>
      <c r="H66" s="41"/>
      <c r="I66" s="31" t="n">
        <f aca="false">N(G66)*N(F66)+N(H66)*N(D66)/'4_Excise_&amp;_CBMA_5000_24'!$B$21</f>
        <v>142.6529082734</v>
      </c>
      <c r="J66" s="44"/>
    </row>
    <row r="67" customFormat="false" ht="15" hidden="false" customHeight="false" outlineLevel="0" collapsed="false">
      <c r="A67" s="40" t="n">
        <v>6</v>
      </c>
      <c r="B67" s="7" t="s">
        <v>243</v>
      </c>
      <c r="C67" s="7" t="s">
        <v>87</v>
      </c>
      <c r="D67" s="41" t="n">
        <v>750</v>
      </c>
      <c r="E67" s="41" t="n">
        <v>12</v>
      </c>
      <c r="F67" s="45" t="n">
        <f aca="false">N(D67)*N(E67)/'4_Excise_&amp;_CBMA_5000_24'!$B$21</f>
        <v>2.37754847122334</v>
      </c>
      <c r="G67" s="41" t="n">
        <v>85</v>
      </c>
      <c r="H67" s="41"/>
      <c r="I67" s="31" t="n">
        <f aca="false">N(G67)*N(F67)+N(H67)*N(D67)/'4_Excise_&amp;_CBMA_5000_24'!$B$21</f>
        <v>202.091620053984</v>
      </c>
      <c r="J67" s="44"/>
    </row>
    <row r="68" customFormat="false" ht="15" hidden="false" customHeight="false" outlineLevel="0" collapsed="false">
      <c r="A68" s="40" t="n">
        <v>7</v>
      </c>
      <c r="B68" s="7"/>
      <c r="C68" s="7"/>
      <c r="D68" s="41"/>
      <c r="E68" s="41"/>
      <c r="F68" s="45" t="n">
        <f aca="false">N(D68)*N(E68)/'4_Excise_&amp;_CBMA_5000_24'!$B$21</f>
        <v>0</v>
      </c>
      <c r="G68" s="41"/>
      <c r="H68" s="41"/>
      <c r="I68" s="31" t="n">
        <f aca="false">N(G68)*N(F68)+N(H68)*N(D68)/'4_Excise_&amp;_CBMA_5000_24'!$B$21</f>
        <v>0</v>
      </c>
      <c r="J68" s="44"/>
    </row>
    <row r="69" customFormat="false" ht="15" hidden="false" customHeight="false" outlineLevel="0" collapsed="false">
      <c r="A69" s="40" t="n">
        <v>8</v>
      </c>
      <c r="B69" s="7"/>
      <c r="C69" s="7"/>
      <c r="D69" s="41"/>
      <c r="E69" s="41"/>
      <c r="F69" s="45" t="n">
        <f aca="false">N(D69)*N(E69)/'4_Excise_&amp;_CBMA_5000_24'!$B$21</f>
        <v>0</v>
      </c>
      <c r="G69" s="41"/>
      <c r="H69" s="41"/>
      <c r="I69" s="31" t="n">
        <f aca="false">N(G69)*N(F69)+N(H69)*N(D69)/'4_Excise_&amp;_CBMA_5000_24'!$B$21</f>
        <v>0</v>
      </c>
      <c r="J69" s="44"/>
    </row>
    <row r="70" customFormat="false" ht="15" hidden="false" customHeight="false" outlineLevel="0" collapsed="false">
      <c r="A70" s="40" t="n">
        <v>9</v>
      </c>
      <c r="B70" s="7"/>
      <c r="C70" s="7"/>
      <c r="D70" s="41"/>
      <c r="E70" s="41"/>
      <c r="F70" s="45" t="n">
        <f aca="false">N(D70)*N(E70)/'4_Excise_&amp;_CBMA_5000_24'!$B$21</f>
        <v>0</v>
      </c>
      <c r="G70" s="41"/>
      <c r="H70" s="41"/>
      <c r="I70" s="31" t="n">
        <f aca="false">N(G70)*N(F70)+N(H70)*N(D70)/'4_Excise_&amp;_CBMA_5000_24'!$B$21</f>
        <v>0</v>
      </c>
      <c r="J70" s="44"/>
    </row>
    <row r="71" customFormat="false" ht="15" hidden="false" customHeight="false" outlineLevel="0" collapsed="false">
      <c r="A71" s="40" t="n">
        <v>10</v>
      </c>
      <c r="B71" s="7"/>
      <c r="C71" s="7"/>
      <c r="D71" s="41"/>
      <c r="E71" s="41"/>
      <c r="F71" s="45" t="n">
        <f aca="false">N(D71)*N(E71)/'4_Excise_&amp;_CBMA_5000_24'!$B$21</f>
        <v>0</v>
      </c>
      <c r="G71" s="41"/>
      <c r="H71" s="41"/>
      <c r="I71" s="31" t="n">
        <f aca="false">N(G71)*N(F71)+N(H71)*N(D71)/'4_Excise_&amp;_CBMA_5000_24'!$B$21</f>
        <v>0</v>
      </c>
      <c r="J71" s="44"/>
    </row>
    <row r="72" customFormat="false" ht="15" hidden="false" customHeight="false" outlineLevel="0" collapsed="false">
      <c r="A72" s="40" t="n">
        <v>11</v>
      </c>
      <c r="B72" s="7"/>
      <c r="C72" s="7"/>
      <c r="D72" s="41"/>
      <c r="E72" s="41"/>
      <c r="F72" s="45" t="n">
        <f aca="false">N(D72)*N(E72)/'4_Excise_&amp;_CBMA_5000_24'!$B$21</f>
        <v>0</v>
      </c>
      <c r="G72" s="41"/>
      <c r="H72" s="41"/>
      <c r="I72" s="31" t="n">
        <f aca="false">N(G72)*N(F72)+N(H72)*N(D72)/'4_Excise_&amp;_CBMA_5000_24'!$B$21</f>
        <v>0</v>
      </c>
      <c r="J72" s="44"/>
    </row>
    <row r="73" customFormat="false" ht="15" hidden="false" customHeight="false" outlineLevel="0" collapsed="false">
      <c r="A73" s="40" t="n">
        <v>12</v>
      </c>
      <c r="B73" s="7"/>
      <c r="C73" s="7"/>
      <c r="D73" s="41"/>
      <c r="E73" s="41"/>
      <c r="F73" s="45" t="n">
        <f aca="false">N(D73)*N(E73)/'4_Excise_&amp;_CBMA_5000_24'!$B$21</f>
        <v>0</v>
      </c>
      <c r="G73" s="41"/>
      <c r="H73" s="41"/>
      <c r="I73" s="31" t="n">
        <f aca="false">N(G73)*N(F73)+N(H73)*N(D73)/'4_Excise_&amp;_CBMA_5000_24'!$B$21</f>
        <v>0</v>
      </c>
      <c r="J73" s="44"/>
    </row>
    <row r="74" customFormat="false" ht="15" hidden="false" customHeight="false" outlineLevel="0" collapsed="false">
      <c r="H74" s="20" t="s">
        <v>233</v>
      </c>
      <c r="I74" s="34" t="n">
        <f aca="false">SUM(I62:I73)</f>
        <v>1750.07380385964</v>
      </c>
    </row>
    <row r="75" customFormat="false" ht="15" hidden="false" customHeight="false" outlineLevel="0" collapsed="false">
      <c r="B75" s="46" t="s">
        <v>244</v>
      </c>
      <c r="F75" s="47" t="n">
        <f aca="false">9/'4_Excise_&amp;_CBMA_5000_24'!$B$21*1000</f>
        <v>2.37754847122334</v>
      </c>
    </row>
  </sheetData>
  <mergeCells count="9">
    <mergeCell ref="A1:J1"/>
    <mergeCell ref="A2:J2"/>
    <mergeCell ref="A3:J3"/>
    <mergeCell ref="A4:J4"/>
    <mergeCell ref="A8:J8"/>
    <mergeCell ref="A16:J16"/>
    <mergeCell ref="A35:J35"/>
    <mergeCell ref="A44:J44"/>
    <mergeCell ref="A60:J60"/>
  </mergeCells>
  <conditionalFormatting sqref="C37:I37">
    <cfRule type="expression" priority="2" aboveAverage="0" equalAverage="0" bottom="0" percent="0" rank="0" text="" dxfId="1">
      <formula>ISNUMBER(SEARCH("PASS",C37))</formula>
    </cfRule>
    <cfRule type="expression" priority="3" aboveAverage="0" equalAverage="0" bottom="0" percent="0" rank="0" text="" dxfId="2">
      <formula>OR(ISNUMBER(SEARCH("FAIL",C37)),ISNUMBER(SEARCH("NOT READY",C37)),ISNUMBER(SEARCH("OPEN",C37)))</formula>
    </cfRule>
    <cfRule type="expression" priority="4" aboveAverage="0" equalAverage="0" bottom="0" percent="0" rank="0" text="" dxfId="1">
      <formula>ISNUMBER(SEARCH("READY TO SEND",C37))</formula>
    </cfRule>
  </conditionalFormatting>
  <conditionalFormatting sqref="C39:I39">
    <cfRule type="expression" priority="5" aboveAverage="0" equalAverage="0" bottom="0" percent="0" rank="0" text="" dxfId="1">
      <formula>ISNUMBER(SEARCH("PASS",C39))</formula>
    </cfRule>
    <cfRule type="expression" priority="6" aboveAverage="0" equalAverage="0" bottom="0" percent="0" rank="0" text="" dxfId="2">
      <formula>OR(ISNUMBER(SEARCH("FAIL",C39)),ISNUMBER(SEARCH("NOT READY",C39)),ISNUMBER(SEARCH("OPEN",C39)))</formula>
    </cfRule>
    <cfRule type="expression" priority="7" aboveAverage="0" equalAverage="0" bottom="0" percent="0" rank="0" text="" dxfId="1">
      <formula>ISNUMBER(SEARCH("READY TO SEND",C39))</formula>
    </cfRule>
  </conditionalFormatting>
  <conditionalFormatting sqref="C42:I42">
    <cfRule type="expression" priority="8" aboveAverage="0" equalAverage="0" bottom="0" percent="0" rank="0" text="" dxfId="1">
      <formula>ISNUMBER(SEARCH("PASS",C42))</formula>
    </cfRule>
    <cfRule type="expression" priority="9" aboveAverage="0" equalAverage="0" bottom="0" percent="0" rank="0" text="" dxfId="2">
      <formula>OR(ISNUMBER(SEARCH("FAIL",C42)),ISNUMBER(SEARCH("NOT READY",C42)),ISNUMBER(SEARCH("OPEN",C42)))</formula>
    </cfRule>
    <cfRule type="expression" priority="10" aboveAverage="0" equalAverage="0" bottom="0" percent="0" rank="0" text="" dxfId="1">
      <formula>ISNUMBER(SEARCH("READY TO SEND",C42))</formula>
    </cfRule>
  </conditionalFormatting>
  <dataValidations count="5">
    <dataValidation allowBlank="true" errorStyle="stop" operator="between" showDropDown="false" showErrorMessage="false" showInputMessage="false" sqref="B46:B57" type="list">
      <formula1>"Tasting room,Wholesale,DTC"</formula1>
      <formula2>0</formula2>
    </dataValidation>
    <dataValidation allowBlank="true" errorStyle="stop" operator="between" showDropDown="false" showErrorMessage="false" showInputMessage="false" sqref="C46:C57" type="list">
      <formula1>"a: ≤16%,b: &gt;16–21%,c: &gt;21–24%,d: Art. carbonated,e: Sparkling,f: Hard cider"</formula1>
      <formula2>0</formula2>
    </dataValidation>
    <dataValidation allowBlank="true" errorStyle="stop" operator="between" showDropDown="false" showErrorMessage="false" showInputMessage="false" sqref="D46:D57" type="list">
      <formula1>"187,375,500,750,1000,1500,3000"</formula1>
      <formula2>0</formula2>
    </dataValidation>
    <dataValidation allowBlank="true" errorStyle="stop" operator="between" showDropDown="false" showErrorMessage="false" showInputMessage="false" sqref="C62:C73" type="list">
      <formula1>"a: ≤16%,b: &gt;16–21%,c: &gt;21–24%,d: Art. carbonated,e: Sparkling,f: Hard cider"</formula1>
      <formula2>0</formula2>
    </dataValidation>
    <dataValidation allowBlank="true" errorStyle="stop" operator="between" showDropDown="false" showErrorMessage="false" showInputMessage="false" sqref="D62:D73" type="list">
      <formula1>"187,375,500,750,1000,1500,3000"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1A2C"/>
    <pageSetUpPr fitToPage="true"/>
  </sheetPr>
  <dimension ref="A1:I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66"/>
    <col collapsed="false" customWidth="true" hidden="false" outlineLevel="0" max="4" min="2" style="0" width="14"/>
    <col collapsed="false" customWidth="true" hidden="false" outlineLevel="0" max="5" min="5" style="0" width="15"/>
    <col collapsed="false" customWidth="true" hidden="false" outlineLevel="0" max="7" min="6" style="0" width="14"/>
    <col collapsed="false" customWidth="true" hidden="false" outlineLevel="0" max="8" min="8" style="0" width="15"/>
    <col collapsed="false" customWidth="true" hidden="false" outlineLevel="0" max="9" min="9" style="0" width="62"/>
  </cols>
  <sheetData>
    <row r="1" customFormat="false" ht="30" hidden="false" customHeight="true" outlineLevel="0" collapsed="false">
      <c r="A1" s="1" t="s">
        <v>0</v>
      </c>
      <c r="B1" s="1"/>
      <c r="C1" s="1"/>
      <c r="D1" s="1"/>
      <c r="E1" s="1"/>
      <c r="F1" s="1"/>
      <c r="G1" s="1"/>
      <c r="H1" s="1"/>
      <c r="I1" s="1"/>
    </row>
    <row r="2" customFormat="false" ht="19.5" hidden="false" customHeight="true" outlineLevel="0" collapsed="false">
      <c r="A2" s="2" t="str">
        <f aca="false">"TTB F 5000.24 Excise Tax Return &amp; CBMA Credit Calculator (26 U.S.C. 5041)  ·  "&amp;'1_Winery_Info_&amp;_Checklist'!$B$7&amp;"  ·  Registry "&amp;'1_Winery_Info_&amp;_Checklist'!$B$9&amp;"  ·  "&amp;'1_Winery_Info_&amp;_Checklist'!$B$17&amp;" "&amp;'1_Winery_Info_&amp;_Checklist'!$B$16</f>
        <v>TTB F 5000.24 Excise Tax Return &amp; CBMA Credit Calculator (26 U.S.C. 5041)  ·  Oak Hollow Cellars (SAMPLE)  ·  Registry BW-CA-00000 (SAMPLE)  ·  Q3 2026</v>
      </c>
      <c r="B2" s="2"/>
      <c r="C2" s="2"/>
      <c r="D2" s="2"/>
      <c r="E2" s="2"/>
      <c r="F2" s="2"/>
      <c r="G2" s="2"/>
      <c r="H2" s="2"/>
      <c r="I2" s="2"/>
    </row>
    <row r="3" customFormat="false" ht="30" hidden="false" customHeight="true" outlineLevel="0" collapsed="false">
      <c r="A3" s="3" t="s">
        <v>2</v>
      </c>
      <c r="B3" s="3"/>
      <c r="C3" s="3"/>
      <c r="D3" s="3"/>
      <c r="E3" s="3"/>
      <c r="F3" s="3"/>
      <c r="G3" s="3"/>
      <c r="H3" s="3"/>
      <c r="I3" s="3"/>
    </row>
    <row r="4" customFormat="false" ht="18" hidden="false" customHeight="true" outlineLevel="0" collapsed="false">
      <c r="A4" s="4" t="s">
        <v>3</v>
      </c>
      <c r="B4" s="4"/>
      <c r="C4" s="4"/>
      <c r="D4" s="4"/>
      <c r="E4" s="4"/>
      <c r="F4" s="4"/>
      <c r="G4" s="4"/>
      <c r="H4" s="4"/>
      <c r="I4" s="4"/>
    </row>
    <row r="6" customFormat="false" ht="15" hidden="false" customHeight="true" outlineLevel="0" collapsed="false">
      <c r="A6" s="5" t="s">
        <v>245</v>
      </c>
      <c r="B6" s="5"/>
      <c r="C6" s="5"/>
      <c r="D6" s="5"/>
      <c r="E6" s="5"/>
      <c r="F6" s="5"/>
      <c r="G6" s="5"/>
      <c r="H6" s="5"/>
      <c r="I6" s="5"/>
    </row>
    <row r="7" customFormat="false" ht="31.5" hidden="false" customHeight="true" outlineLevel="0" collapsed="false">
      <c r="A7" s="26" t="s">
        <v>246</v>
      </c>
      <c r="B7" s="26" t="s">
        <v>74</v>
      </c>
      <c r="C7" s="26" t="s">
        <v>75</v>
      </c>
      <c r="D7" s="26" t="s">
        <v>76</v>
      </c>
      <c r="E7" s="26" t="s">
        <v>77</v>
      </c>
      <c r="F7" s="26" t="s">
        <v>78</v>
      </c>
      <c r="G7" s="26" t="s">
        <v>79</v>
      </c>
      <c r="H7" s="26"/>
      <c r="I7" s="26" t="s">
        <v>247</v>
      </c>
    </row>
    <row r="8" customFormat="false" ht="15" hidden="false" customHeight="false" outlineLevel="0" collapsed="false">
      <c r="A8" s="6" t="s">
        <v>248</v>
      </c>
      <c r="B8" s="48" t="n">
        <v>1.07</v>
      </c>
      <c r="C8" s="48" t="n">
        <v>1.57</v>
      </c>
      <c r="D8" s="48" t="n">
        <v>3.15</v>
      </c>
      <c r="E8" s="48" t="n">
        <v>3.3</v>
      </c>
      <c r="F8" s="48" t="n">
        <v>3.4</v>
      </c>
      <c r="G8" s="48" t="n">
        <v>0.226</v>
      </c>
      <c r="I8" s="11" t="s">
        <v>249</v>
      </c>
    </row>
    <row r="9" customFormat="false" ht="15" hidden="false" customHeight="false" outlineLevel="0" collapsed="false">
      <c r="A9" s="6" t="s">
        <v>250</v>
      </c>
      <c r="B9" s="48" t="n">
        <v>1</v>
      </c>
      <c r="C9" s="48" t="n">
        <v>1</v>
      </c>
      <c r="D9" s="48" t="n">
        <v>1</v>
      </c>
      <c r="E9" s="48" t="n">
        <v>1</v>
      </c>
      <c r="F9" s="48" t="n">
        <v>1</v>
      </c>
      <c r="G9" s="48" t="n">
        <v>0.062</v>
      </c>
      <c r="I9" s="11" t="s">
        <v>251</v>
      </c>
    </row>
    <row r="10" customFormat="false" ht="15" hidden="false" customHeight="false" outlineLevel="0" collapsed="false">
      <c r="A10" s="6" t="s">
        <v>252</v>
      </c>
      <c r="B10" s="48" t="n">
        <v>0.9</v>
      </c>
      <c r="C10" s="48" t="n">
        <v>0.9</v>
      </c>
      <c r="D10" s="48" t="n">
        <v>0.9</v>
      </c>
      <c r="E10" s="48" t="n">
        <v>0.9</v>
      </c>
      <c r="F10" s="48" t="n">
        <v>0.9</v>
      </c>
      <c r="G10" s="48" t="n">
        <v>0.056</v>
      </c>
      <c r="I10" s="11" t="s">
        <v>253</v>
      </c>
    </row>
    <row r="11" customFormat="false" ht="15" hidden="false" customHeight="false" outlineLevel="0" collapsed="false">
      <c r="A11" s="6" t="s">
        <v>254</v>
      </c>
      <c r="B11" s="48" t="n">
        <v>0.535</v>
      </c>
      <c r="C11" s="48" t="n">
        <v>0.535</v>
      </c>
      <c r="D11" s="48" t="n">
        <v>0.535</v>
      </c>
      <c r="E11" s="48" t="n">
        <v>0.535</v>
      </c>
      <c r="F11" s="48" t="n">
        <v>0.535</v>
      </c>
      <c r="G11" s="48" t="n">
        <v>0.033</v>
      </c>
      <c r="I11" s="11" t="s">
        <v>255</v>
      </c>
    </row>
    <row r="12" customFormat="false" ht="15" hidden="false" customHeight="false" outlineLevel="0" collapsed="false">
      <c r="A12" s="36" t="s">
        <v>256</v>
      </c>
      <c r="B12" s="49" t="n">
        <f aca="false">B8-B9</f>
        <v>0.0700000000000001</v>
      </c>
      <c r="C12" s="49" t="n">
        <f aca="false">C8-C9</f>
        <v>0.57</v>
      </c>
      <c r="D12" s="49" t="n">
        <f aca="false">D8-D9</f>
        <v>2.15</v>
      </c>
      <c r="E12" s="49" t="n">
        <f aca="false">E8-E9</f>
        <v>2.3</v>
      </c>
      <c r="F12" s="49" t="n">
        <f aca="false">F8-F9</f>
        <v>2.4</v>
      </c>
      <c r="G12" s="49" t="n">
        <f aca="false">G8-G9</f>
        <v>0.164</v>
      </c>
      <c r="I12" s="11" t="s">
        <v>257</v>
      </c>
    </row>
    <row r="13" customFormat="false" ht="15" hidden="false" customHeight="false" outlineLevel="0" collapsed="false">
      <c r="A13" s="36" t="s">
        <v>258</v>
      </c>
      <c r="B13" s="49" t="n">
        <f aca="false">B8-B10</f>
        <v>0.17</v>
      </c>
      <c r="C13" s="49" t="n">
        <f aca="false">C8-C10</f>
        <v>0.67</v>
      </c>
      <c r="D13" s="49" t="n">
        <f aca="false">D8-D10</f>
        <v>2.25</v>
      </c>
      <c r="E13" s="49" t="n">
        <f aca="false">E8-E10</f>
        <v>2.4</v>
      </c>
      <c r="F13" s="49" t="n">
        <f aca="false">F8-F10</f>
        <v>2.5</v>
      </c>
      <c r="G13" s="49" t="n">
        <f aca="false">G8-G10</f>
        <v>0.17</v>
      </c>
      <c r="I13" s="11" t="s">
        <v>257</v>
      </c>
    </row>
    <row r="14" customFormat="false" ht="15" hidden="false" customHeight="false" outlineLevel="0" collapsed="false">
      <c r="A14" s="36" t="s">
        <v>259</v>
      </c>
      <c r="B14" s="49" t="n">
        <f aca="false">B8-B11</f>
        <v>0.535</v>
      </c>
      <c r="C14" s="49" t="n">
        <f aca="false">C8-C11</f>
        <v>1.035</v>
      </c>
      <c r="D14" s="49" t="n">
        <f aca="false">D8-D11</f>
        <v>2.615</v>
      </c>
      <c r="E14" s="49" t="n">
        <f aca="false">E8-E11</f>
        <v>2.765</v>
      </c>
      <c r="F14" s="49" t="n">
        <f aca="false">F8-F11</f>
        <v>2.865</v>
      </c>
      <c r="G14" s="49" t="n">
        <f aca="false">G8-G11</f>
        <v>0.193</v>
      </c>
      <c r="I14" s="11" t="s">
        <v>257</v>
      </c>
    </row>
    <row r="17" customFormat="false" ht="15" hidden="false" customHeight="true" outlineLevel="0" collapsed="false">
      <c r="A17" s="5" t="s">
        <v>260</v>
      </c>
      <c r="B17" s="5"/>
      <c r="C17" s="5"/>
      <c r="D17" s="5"/>
      <c r="E17" s="5"/>
      <c r="F17" s="5"/>
      <c r="G17" s="5"/>
      <c r="H17" s="5"/>
      <c r="I17" s="5"/>
    </row>
    <row r="18" customFormat="false" ht="15" hidden="false" customHeight="false" outlineLevel="0" collapsed="false">
      <c r="A18" s="6" t="s">
        <v>261</v>
      </c>
      <c r="B18" s="41" t="n">
        <v>30000</v>
      </c>
    </row>
    <row r="19" customFormat="false" ht="15" hidden="false" customHeight="false" outlineLevel="0" collapsed="false">
      <c r="A19" s="6" t="s">
        <v>262</v>
      </c>
      <c r="B19" s="41" t="n">
        <v>100000</v>
      </c>
    </row>
    <row r="20" customFormat="false" ht="15" hidden="false" customHeight="false" outlineLevel="0" collapsed="false">
      <c r="A20" s="6" t="s">
        <v>263</v>
      </c>
      <c r="B20" s="41" t="n">
        <v>620000</v>
      </c>
    </row>
    <row r="21" customFormat="false" ht="15" hidden="false" customHeight="false" outlineLevel="0" collapsed="false">
      <c r="A21" s="6" t="s">
        <v>264</v>
      </c>
      <c r="B21" s="50" t="n">
        <v>3785.411784</v>
      </c>
      <c r="I21" s="11" t="s">
        <v>265</v>
      </c>
    </row>
    <row r="22" customFormat="false" ht="22.35" hidden="false" customHeight="false" outlineLevel="0" collapsed="false">
      <c r="A22" s="6" t="s">
        <v>266</v>
      </c>
      <c r="B22" s="30" t="n">
        <v>2750</v>
      </c>
      <c r="I22" s="32" t="s">
        <v>267</v>
      </c>
    </row>
    <row r="23" customFormat="false" ht="15" hidden="false" customHeight="false" outlineLevel="0" collapsed="false">
      <c r="A23" s="6" t="s">
        <v>268</v>
      </c>
      <c r="B23" s="51" t="n">
        <v>0</v>
      </c>
      <c r="I23" s="11" t="s">
        <v>269</v>
      </c>
    </row>
    <row r="24" customFormat="false" ht="15" hidden="false" customHeight="false" outlineLevel="0" collapsed="false">
      <c r="A24" s="6" t="s">
        <v>270</v>
      </c>
      <c r="B24" s="51" t="n">
        <v>0</v>
      </c>
    </row>
    <row r="25" customFormat="false" ht="15" hidden="false" customHeight="false" outlineLevel="0" collapsed="false">
      <c r="A25" s="6" t="s">
        <v>271</v>
      </c>
      <c r="B25" s="16"/>
      <c r="C25" s="16"/>
      <c r="D25" s="16"/>
      <c r="E25" s="16"/>
      <c r="F25" s="16"/>
      <c r="G25" s="16"/>
      <c r="H25" s="16"/>
    </row>
    <row r="27" customFormat="false" ht="15" hidden="false" customHeight="true" outlineLevel="0" collapsed="false">
      <c r="A27" s="5" t="s">
        <v>272</v>
      </c>
      <c r="B27" s="5"/>
      <c r="C27" s="5"/>
      <c r="D27" s="5"/>
      <c r="E27" s="5"/>
      <c r="F27" s="5"/>
      <c r="G27" s="5"/>
      <c r="H27" s="5"/>
      <c r="I27" s="5"/>
    </row>
    <row r="28" customFormat="false" ht="31.5" hidden="false" customHeight="true" outlineLevel="0" collapsed="false">
      <c r="A28" s="26" t="s">
        <v>73</v>
      </c>
      <c r="B28" s="26" t="s">
        <v>74</v>
      </c>
      <c r="C28" s="26" t="s">
        <v>75</v>
      </c>
      <c r="D28" s="26" t="s">
        <v>76</v>
      </c>
      <c r="E28" s="26" t="s">
        <v>77</v>
      </c>
      <c r="F28" s="26" t="s">
        <v>78</v>
      </c>
      <c r="G28" s="26" t="s">
        <v>79</v>
      </c>
      <c r="H28" s="26" t="s">
        <v>233</v>
      </c>
      <c r="I28" s="26" t="s">
        <v>247</v>
      </c>
    </row>
    <row r="29" customFormat="false" ht="15" hidden="false" customHeight="false" outlineLevel="0" collapsed="false">
      <c r="A29" s="6" t="s">
        <v>273</v>
      </c>
      <c r="B29" s="31" t="n">
        <f aca="false">'3_Bottled_Wine_5120_17_SecB'!C17</f>
        <v>1230.38133385808</v>
      </c>
      <c r="C29" s="31" t="n">
        <f aca="false">'3_Bottled_Wine_5120_17_SecB'!D17</f>
        <v>47.5509694244667</v>
      </c>
      <c r="D29" s="31" t="n">
        <f aca="false">'3_Bottled_Wine_5120_17_SecB'!E17</f>
        <v>0</v>
      </c>
      <c r="E29" s="31" t="n">
        <f aca="false">'3_Bottled_Wine_5120_17_SecB'!F17</f>
        <v>0</v>
      </c>
      <c r="F29" s="31" t="n">
        <f aca="false">'3_Bottled_Wine_5120_17_SecB'!G17</f>
        <v>47.5509694244667</v>
      </c>
      <c r="G29" s="31" t="n">
        <f aca="false">'3_Bottled_Wine_5120_17_SecB'!H17</f>
        <v>0</v>
      </c>
      <c r="H29" s="31" t="n">
        <f aca="false">SUM(B29:G29)</f>
        <v>1325.48327270701</v>
      </c>
      <c r="I29" s="32" t="s">
        <v>274</v>
      </c>
    </row>
    <row r="30" customFormat="false" ht="15" hidden="false" customHeight="false" outlineLevel="0" collapsed="false">
      <c r="A30" s="6" t="s">
        <v>275</v>
      </c>
      <c r="B30" s="31" t="n">
        <f aca="false">'2_Bulk_Wine_5120_17_SecA'!C23</f>
        <v>0</v>
      </c>
      <c r="C30" s="31" t="n">
        <f aca="false">'2_Bulk_Wine_5120_17_SecA'!D23</f>
        <v>0</v>
      </c>
      <c r="D30" s="31" t="n">
        <f aca="false">'2_Bulk_Wine_5120_17_SecA'!E23</f>
        <v>0</v>
      </c>
      <c r="E30" s="31" t="n">
        <f aca="false">'2_Bulk_Wine_5120_17_SecA'!F23</f>
        <v>0</v>
      </c>
      <c r="F30" s="31" t="n">
        <f aca="false">'2_Bulk_Wine_5120_17_SecA'!G23</f>
        <v>0</v>
      </c>
      <c r="G30" s="31" t="n">
        <f aca="false">'2_Bulk_Wine_5120_17_SecA'!H23</f>
        <v>0</v>
      </c>
      <c r="H30" s="31" t="n">
        <f aca="false">SUM(B30:G30)</f>
        <v>0</v>
      </c>
      <c r="I30" s="32" t="s">
        <v>276</v>
      </c>
    </row>
    <row r="31" customFormat="false" ht="15" hidden="false" customHeight="false" outlineLevel="0" collapsed="false">
      <c r="A31" s="20" t="s">
        <v>277</v>
      </c>
      <c r="B31" s="34" t="n">
        <f aca="false">B29+B30</f>
        <v>1230.38133385808</v>
      </c>
      <c r="C31" s="34" t="n">
        <f aca="false">C29+C30</f>
        <v>47.5509694244667</v>
      </c>
      <c r="D31" s="34" t="n">
        <f aca="false">D29+D30</f>
        <v>0</v>
      </c>
      <c r="E31" s="34" t="n">
        <f aca="false">E29+E30</f>
        <v>0</v>
      </c>
      <c r="F31" s="34" t="n">
        <f aca="false">F29+F30</f>
        <v>47.5509694244667</v>
      </c>
      <c r="G31" s="34" t="n">
        <f aca="false">G29+G30</f>
        <v>0</v>
      </c>
      <c r="H31" s="34" t="n">
        <f aca="false">SUM(B31:G31)</f>
        <v>1325.48327270701</v>
      </c>
      <c r="I31" s="52" t="s">
        <v>112</v>
      </c>
    </row>
    <row r="32" customFormat="false" ht="15" hidden="false" customHeight="false" outlineLevel="0" collapsed="false">
      <c r="A32" s="6" t="s">
        <v>278</v>
      </c>
      <c r="B32" s="30" t="n">
        <v>0</v>
      </c>
      <c r="C32" s="30" t="n">
        <v>0</v>
      </c>
      <c r="D32" s="30" t="n">
        <v>0</v>
      </c>
      <c r="E32" s="30" t="n">
        <v>0</v>
      </c>
      <c r="F32" s="30" t="n">
        <v>0</v>
      </c>
      <c r="G32" s="30" t="n">
        <v>0</v>
      </c>
      <c r="H32" s="31" t="n">
        <f aca="false">SUM(B32:G32)</f>
        <v>0</v>
      </c>
      <c r="I32" s="32" t="s">
        <v>279</v>
      </c>
    </row>
    <row r="33" customFormat="false" ht="15" hidden="false" customHeight="false" outlineLevel="0" collapsed="false">
      <c r="A33" s="6" t="s">
        <v>280</v>
      </c>
      <c r="B33" s="31" t="n">
        <f aca="false">MAX(0,B31-B32)</f>
        <v>1230.38133385808</v>
      </c>
      <c r="C33" s="31" t="n">
        <f aca="false">MAX(0,C31-C32)</f>
        <v>47.5509694244667</v>
      </c>
      <c r="D33" s="31" t="n">
        <f aca="false">MAX(0,D31-D32)</f>
        <v>0</v>
      </c>
      <c r="E33" s="31" t="n">
        <f aca="false">MAX(0,E31-E32)</f>
        <v>0</v>
      </c>
      <c r="F33" s="31" t="n">
        <f aca="false">MAX(0,F31-F32)</f>
        <v>47.5509694244667</v>
      </c>
      <c r="G33" s="31" t="n">
        <f aca="false">MAX(0,G31-G32)</f>
        <v>0</v>
      </c>
      <c r="H33" s="31" t="n">
        <f aca="false">SUM(B33:G33)</f>
        <v>1325.48327270701</v>
      </c>
      <c r="I33" s="32" t="s">
        <v>112</v>
      </c>
    </row>
    <row r="34" customFormat="false" ht="15" hidden="false" customHeight="false" outlineLevel="0" collapsed="false">
      <c r="A34" s="20" t="s">
        <v>281</v>
      </c>
      <c r="B34" s="53" t="n">
        <f aca="false">ROUND(B31*B8,2)</f>
        <v>1316.51</v>
      </c>
      <c r="C34" s="53" t="n">
        <f aca="false">ROUND(C31*C8,2)</f>
        <v>74.66</v>
      </c>
      <c r="D34" s="53" t="n">
        <f aca="false">ROUND(D31*D8,2)</f>
        <v>0</v>
      </c>
      <c r="E34" s="53" t="n">
        <f aca="false">ROUND(E31*E8,2)</f>
        <v>0</v>
      </c>
      <c r="F34" s="53" t="n">
        <f aca="false">ROUND(F31*F8,2)</f>
        <v>161.67</v>
      </c>
      <c r="G34" s="53" t="n">
        <f aca="false">ROUND(G31*G8,2)</f>
        <v>0</v>
      </c>
      <c r="H34" s="53" t="n">
        <f aca="false">SUM(B34:G34)</f>
        <v>1552.84</v>
      </c>
      <c r="I34" s="52" t="s">
        <v>282</v>
      </c>
    </row>
    <row r="35" customFormat="false" ht="15" hidden="false" customHeight="false" outlineLevel="0" collapsed="false">
      <c r="A35" s="6" t="s">
        <v>283</v>
      </c>
      <c r="B35" s="31" t="n">
        <f aca="false">MAX(0,$B$18-$B$22)</f>
        <v>27250</v>
      </c>
      <c r="C35" s="31" t="n">
        <f aca="false">MAX(0,B35-B36)</f>
        <v>26019.6186661419</v>
      </c>
      <c r="D35" s="31" t="n">
        <f aca="false">MAX(0,C35-C36)</f>
        <v>25972.0676967175</v>
      </c>
      <c r="E35" s="31" t="n">
        <f aca="false">MAX(0,D35-D36)</f>
        <v>25972.0676967175</v>
      </c>
      <c r="F35" s="31" t="n">
        <f aca="false">MAX(0,E35-E36)</f>
        <v>25972.0676967175</v>
      </c>
      <c r="G35" s="31" t="n">
        <f aca="false">MAX(0,F35-F36)</f>
        <v>25924.516727293</v>
      </c>
      <c r="H35" s="54"/>
      <c r="I35" s="32" t="s">
        <v>284</v>
      </c>
    </row>
    <row r="36" customFormat="false" ht="15" hidden="false" customHeight="false" outlineLevel="0" collapsed="false">
      <c r="A36" s="6" t="s">
        <v>285</v>
      </c>
      <c r="B36" s="31" t="n">
        <f aca="false">MIN(B33,B35)</f>
        <v>1230.38133385808</v>
      </c>
      <c r="C36" s="31" t="n">
        <f aca="false">MIN(C33,C35)</f>
        <v>47.5509694244667</v>
      </c>
      <c r="D36" s="31" t="n">
        <f aca="false">MIN(D33,D35)</f>
        <v>0</v>
      </c>
      <c r="E36" s="31" t="n">
        <f aca="false">MIN(E33,E35)</f>
        <v>0</v>
      </c>
      <c r="F36" s="31" t="n">
        <f aca="false">MIN(F33,F35)</f>
        <v>47.5509694244667</v>
      </c>
      <c r="G36" s="31" t="n">
        <f aca="false">MIN(G33,G35)</f>
        <v>0</v>
      </c>
      <c r="H36" s="31" t="n">
        <f aca="false">SUM(B36:G36)</f>
        <v>1325.48327270701</v>
      </c>
      <c r="I36" s="32" t="s">
        <v>112</v>
      </c>
    </row>
    <row r="37" customFormat="false" ht="15" hidden="false" customHeight="false" outlineLevel="0" collapsed="false">
      <c r="A37" s="6" t="s">
        <v>286</v>
      </c>
      <c r="B37" s="31" t="n">
        <f aca="false">MAX(0,$B$19-MAX(0,$B$22-$B$18))</f>
        <v>100000</v>
      </c>
      <c r="C37" s="31" t="n">
        <f aca="false">MAX(0,B37-B38)</f>
        <v>100000</v>
      </c>
      <c r="D37" s="31" t="n">
        <f aca="false">MAX(0,C37-C38)</f>
        <v>100000</v>
      </c>
      <c r="E37" s="31" t="n">
        <f aca="false">MAX(0,D37-D38)</f>
        <v>100000</v>
      </c>
      <c r="F37" s="31" t="n">
        <f aca="false">MAX(0,E37-E38)</f>
        <v>100000</v>
      </c>
      <c r="G37" s="31" t="n">
        <f aca="false">MAX(0,F37-F38)</f>
        <v>100000</v>
      </c>
      <c r="H37" s="54"/>
      <c r="I37" s="32" t="s">
        <v>112</v>
      </c>
    </row>
    <row r="38" customFormat="false" ht="15" hidden="false" customHeight="false" outlineLevel="0" collapsed="false">
      <c r="A38" s="6" t="s">
        <v>287</v>
      </c>
      <c r="B38" s="31" t="n">
        <f aca="false">MIN(B33-B36,B37)</f>
        <v>0</v>
      </c>
      <c r="C38" s="31" t="n">
        <f aca="false">MIN(C33-C36,C37)</f>
        <v>0</v>
      </c>
      <c r="D38" s="31" t="n">
        <f aca="false">MIN(D33-D36,D37)</f>
        <v>0</v>
      </c>
      <c r="E38" s="31" t="n">
        <f aca="false">MIN(E33-E36,E37)</f>
        <v>0</v>
      </c>
      <c r="F38" s="31" t="n">
        <f aca="false">MIN(F33-F36,F37)</f>
        <v>0</v>
      </c>
      <c r="G38" s="31" t="n">
        <f aca="false">MIN(G33-G36,G37)</f>
        <v>0</v>
      </c>
      <c r="H38" s="31" t="n">
        <f aca="false">SUM(B38:G38)</f>
        <v>0</v>
      </c>
      <c r="I38" s="32" t="s">
        <v>112</v>
      </c>
    </row>
    <row r="39" customFormat="false" ht="15" hidden="false" customHeight="false" outlineLevel="0" collapsed="false">
      <c r="A39" s="6" t="s">
        <v>288</v>
      </c>
      <c r="B39" s="31" t="n">
        <f aca="false">MAX(0,$B$20-MAX(0,$B$22-$B$18-$B$19))</f>
        <v>620000</v>
      </c>
      <c r="C39" s="31" t="n">
        <f aca="false">MAX(0,B39-B40)</f>
        <v>620000</v>
      </c>
      <c r="D39" s="31" t="n">
        <f aca="false">MAX(0,C39-C40)</f>
        <v>620000</v>
      </c>
      <c r="E39" s="31" t="n">
        <f aca="false">MAX(0,D39-D40)</f>
        <v>620000</v>
      </c>
      <c r="F39" s="31" t="n">
        <f aca="false">MAX(0,E39-E40)</f>
        <v>620000</v>
      </c>
      <c r="G39" s="31" t="n">
        <f aca="false">MAX(0,F39-F40)</f>
        <v>620000</v>
      </c>
      <c r="H39" s="54"/>
      <c r="I39" s="32" t="s">
        <v>112</v>
      </c>
    </row>
    <row r="40" customFormat="false" ht="15" hidden="false" customHeight="false" outlineLevel="0" collapsed="false">
      <c r="A40" s="6" t="s">
        <v>289</v>
      </c>
      <c r="B40" s="31" t="n">
        <f aca="false">MIN(B33-B36-B38,B39)</f>
        <v>0</v>
      </c>
      <c r="C40" s="31" t="n">
        <f aca="false">MIN(C33-C36-C38,C39)</f>
        <v>0</v>
      </c>
      <c r="D40" s="31" t="n">
        <f aca="false">MIN(D33-D36-D38,D39)</f>
        <v>0</v>
      </c>
      <c r="E40" s="31" t="n">
        <f aca="false">MIN(E33-E36-E38,E39)</f>
        <v>0</v>
      </c>
      <c r="F40" s="31" t="n">
        <f aca="false">MIN(F33-F36-F38,F39)</f>
        <v>0</v>
      </c>
      <c r="G40" s="31" t="n">
        <f aca="false">MIN(G33-G36-G38,G39)</f>
        <v>0</v>
      </c>
      <c r="H40" s="31" t="n">
        <f aca="false">SUM(B40:G40)</f>
        <v>0</v>
      </c>
      <c r="I40" s="32" t="s">
        <v>112</v>
      </c>
    </row>
    <row r="41" customFormat="false" ht="15" hidden="false" customHeight="false" outlineLevel="0" collapsed="false">
      <c r="A41" s="6" t="s">
        <v>290</v>
      </c>
      <c r="B41" s="31" t="n">
        <f aca="false">B33-B36-B38-B40</f>
        <v>0</v>
      </c>
      <c r="C41" s="31" t="n">
        <f aca="false">C33-C36-C38-C40</f>
        <v>0</v>
      </c>
      <c r="D41" s="31" t="n">
        <f aca="false">D33-D36-D38-D40</f>
        <v>0</v>
      </c>
      <c r="E41" s="31" t="n">
        <f aca="false">E33-E36-E38-E40</f>
        <v>0</v>
      </c>
      <c r="F41" s="31" t="n">
        <f aca="false">F33-F36-F38-F40</f>
        <v>0</v>
      </c>
      <c r="G41" s="31" t="n">
        <f aca="false">G33-G36-G38-G40</f>
        <v>0</v>
      </c>
      <c r="H41" s="31" t="n">
        <f aca="false">SUM(B41:G41)</f>
        <v>0</v>
      </c>
      <c r="I41" s="32" t="s">
        <v>112</v>
      </c>
    </row>
    <row r="42" customFormat="false" ht="15" hidden="false" customHeight="false" outlineLevel="0" collapsed="false">
      <c r="A42" s="6" t="s">
        <v>291</v>
      </c>
      <c r="B42" s="55" t="n">
        <f aca="false">ROUND(B36*B9,2)</f>
        <v>1230.38</v>
      </c>
      <c r="C42" s="55" t="n">
        <f aca="false">ROUND(C36*C9,2)</f>
        <v>47.55</v>
      </c>
      <c r="D42" s="55" t="n">
        <f aca="false">ROUND(D36*D9,2)</f>
        <v>0</v>
      </c>
      <c r="E42" s="55" t="n">
        <f aca="false">ROUND(E36*E9,2)</f>
        <v>0</v>
      </c>
      <c r="F42" s="55" t="n">
        <f aca="false">ROUND(F36*F9,2)</f>
        <v>47.55</v>
      </c>
      <c r="G42" s="55" t="n">
        <f aca="false">ROUND(G36*G9,2)</f>
        <v>0</v>
      </c>
      <c r="H42" s="55" t="n">
        <f aca="false">SUM(B42:G42)</f>
        <v>1325.48</v>
      </c>
      <c r="I42" s="32" t="s">
        <v>112</v>
      </c>
    </row>
    <row r="43" customFormat="false" ht="15" hidden="false" customHeight="false" outlineLevel="0" collapsed="false">
      <c r="A43" s="6" t="s">
        <v>292</v>
      </c>
      <c r="B43" s="55" t="n">
        <f aca="false">ROUND(B38*B10,2)</f>
        <v>0</v>
      </c>
      <c r="C43" s="55" t="n">
        <f aca="false">ROUND(C38*C10,2)</f>
        <v>0</v>
      </c>
      <c r="D43" s="55" t="n">
        <f aca="false">ROUND(D38*D10,2)</f>
        <v>0</v>
      </c>
      <c r="E43" s="55" t="n">
        <f aca="false">ROUND(E38*E10,2)</f>
        <v>0</v>
      </c>
      <c r="F43" s="55" t="n">
        <f aca="false">ROUND(F38*F10,2)</f>
        <v>0</v>
      </c>
      <c r="G43" s="55" t="n">
        <f aca="false">ROUND(G38*G10,2)</f>
        <v>0</v>
      </c>
      <c r="H43" s="55" t="n">
        <f aca="false">SUM(B43:G43)</f>
        <v>0</v>
      </c>
      <c r="I43" s="32" t="s">
        <v>112</v>
      </c>
    </row>
    <row r="44" customFormat="false" ht="15" hidden="false" customHeight="false" outlineLevel="0" collapsed="false">
      <c r="A44" s="6" t="s">
        <v>293</v>
      </c>
      <c r="B44" s="55" t="n">
        <f aca="false">ROUND(B40*B11,2)</f>
        <v>0</v>
      </c>
      <c r="C44" s="55" t="n">
        <f aca="false">ROUND(C40*C11,2)</f>
        <v>0</v>
      </c>
      <c r="D44" s="55" t="n">
        <f aca="false">ROUND(D40*D11,2)</f>
        <v>0</v>
      </c>
      <c r="E44" s="55" t="n">
        <f aca="false">ROUND(E40*E11,2)</f>
        <v>0</v>
      </c>
      <c r="F44" s="55" t="n">
        <f aca="false">ROUND(F40*F11,2)</f>
        <v>0</v>
      </c>
      <c r="G44" s="55" t="n">
        <f aca="false">ROUND(G40*G11,2)</f>
        <v>0</v>
      </c>
      <c r="H44" s="55" t="n">
        <f aca="false">SUM(B44:G44)</f>
        <v>0</v>
      </c>
      <c r="I44" s="32" t="s">
        <v>112</v>
      </c>
    </row>
    <row r="45" customFormat="false" ht="15" hidden="false" customHeight="false" outlineLevel="0" collapsed="false">
      <c r="A45" s="20" t="s">
        <v>294</v>
      </c>
      <c r="B45" s="53" t="n">
        <f aca="false">B42+B43+B44</f>
        <v>1230.38</v>
      </c>
      <c r="C45" s="53" t="n">
        <f aca="false">C42+C43+C44</f>
        <v>47.55</v>
      </c>
      <c r="D45" s="53" t="n">
        <f aca="false">D42+D43+D44</f>
        <v>0</v>
      </c>
      <c r="E45" s="53" t="n">
        <f aca="false">E42+E43+E44</f>
        <v>0</v>
      </c>
      <c r="F45" s="53" t="n">
        <f aca="false">F42+F43+F44</f>
        <v>47.55</v>
      </c>
      <c r="G45" s="53" t="n">
        <f aca="false">G42+G43+G44</f>
        <v>0</v>
      </c>
      <c r="H45" s="53" t="n">
        <f aca="false">SUM(B45:G45)</f>
        <v>1325.48</v>
      </c>
      <c r="I45" s="52" t="s">
        <v>295</v>
      </c>
    </row>
    <row r="46" customFormat="false" ht="15" hidden="false" customHeight="false" outlineLevel="0" collapsed="false">
      <c r="A46" s="20" t="s">
        <v>296</v>
      </c>
      <c r="B46" s="53" t="n">
        <f aca="false">B34-B45</f>
        <v>86.1299999999999</v>
      </c>
      <c r="C46" s="53" t="n">
        <f aca="false">C34-C45</f>
        <v>27.11</v>
      </c>
      <c r="D46" s="53" t="n">
        <f aca="false">D34-D45</f>
        <v>0</v>
      </c>
      <c r="E46" s="53" t="n">
        <f aca="false">E34-E45</f>
        <v>0</v>
      </c>
      <c r="F46" s="53" t="n">
        <f aca="false">F34-F45</f>
        <v>114.12</v>
      </c>
      <c r="G46" s="53" t="n">
        <f aca="false">G34-G45</f>
        <v>0</v>
      </c>
      <c r="H46" s="53" t="n">
        <f aca="false">SUM(B46:G46)</f>
        <v>227.36</v>
      </c>
      <c r="I46" s="52" t="s">
        <v>112</v>
      </c>
    </row>
    <row r="47" customFormat="false" ht="15" hidden="false" customHeight="false" outlineLevel="0" collapsed="false">
      <c r="A47" s="6" t="s">
        <v>297</v>
      </c>
      <c r="B47" s="56" t="n">
        <f aca="false">IF(B31=0,0,B46/B31)</f>
        <v>0.070002687483826</v>
      </c>
      <c r="C47" s="56" t="n">
        <f aca="false">IF(C31=0,0,C46/C31)</f>
        <v>0.570125074801333</v>
      </c>
      <c r="D47" s="56" t="n">
        <f aca="false">IF(D31=0,0,D46/D31)</f>
        <v>0</v>
      </c>
      <c r="E47" s="56" t="n">
        <f aca="false">IF(E31=0,0,E46/E31)</f>
        <v>0</v>
      </c>
      <c r="F47" s="56" t="n">
        <f aca="false">IF(F31=0,0,F46/F31)</f>
        <v>2.399951071056</v>
      </c>
      <c r="G47" s="56" t="n">
        <f aca="false">IF(G31=0,0,G46/G31)</f>
        <v>0</v>
      </c>
      <c r="H47" s="56" t="n">
        <f aca="false">IF(H31=0,0,H46/H31)</f>
        <v>0.171529890026954</v>
      </c>
      <c r="I47" s="32" t="s">
        <v>112</v>
      </c>
    </row>
    <row r="49" customFormat="false" ht="15" hidden="false" customHeight="true" outlineLevel="0" collapsed="false">
      <c r="A49" s="5" t="s">
        <v>298</v>
      </c>
      <c r="B49" s="5"/>
      <c r="C49" s="5"/>
      <c r="D49" s="5"/>
      <c r="E49" s="5"/>
      <c r="F49" s="5"/>
      <c r="G49" s="5"/>
      <c r="H49" s="5"/>
      <c r="I49" s="5"/>
    </row>
    <row r="50" customFormat="false" ht="15" hidden="false" customHeight="false" outlineLevel="0" collapsed="false">
      <c r="A50" s="6" t="s">
        <v>299</v>
      </c>
      <c r="B50" s="31" t="n">
        <f aca="false">B22+H33</f>
        <v>4075.48327270701</v>
      </c>
    </row>
    <row r="51" customFormat="false" ht="15" hidden="false" customHeight="false" outlineLevel="0" collapsed="false">
      <c r="A51" s="6" t="s">
        <v>300</v>
      </c>
      <c r="B51" s="31" t="n">
        <f aca="false">MAX(0,B18-B50)</f>
        <v>25924.516727293</v>
      </c>
    </row>
    <row r="52" customFormat="false" ht="15" hidden="false" customHeight="false" outlineLevel="0" collapsed="false">
      <c r="A52" s="6" t="s">
        <v>301</v>
      </c>
      <c r="B52" s="57" t="str">
        <f aca="false">IF(B50&lt;=B18,"Tier 1: $1.00/gal credit (hard cider $0.062) applies to all eligible gallons so far",IF(B50&lt;=B18+B19,"Tier 2 reached: $0.90/gal credit (hard cider $0.056) on gallons above 30,000",IF(B50&lt;=B18+B19+B20,"Tier 3 reached: $0.535/gal credit (hard cider $0.033) on gallons above 130,000","Over 750,000 gal: no further credit this year")))</f>
        <v>Tier 1: $1.00/gal credit (hard cider $0.062) applies to all eligible gallons so far</v>
      </c>
      <c r="C52" s="57"/>
      <c r="D52" s="57"/>
      <c r="E52" s="57"/>
      <c r="F52" s="57"/>
      <c r="G52" s="57"/>
      <c r="H52" s="57"/>
    </row>
    <row r="53" customFormat="false" ht="15" hidden="false" customHeight="false" outlineLevel="0" collapsed="false">
      <c r="A53" s="6" t="s">
        <v>302</v>
      </c>
      <c r="B53" s="38" t="n">
        <f aca="false">ROUND(H31-('3_Bottled_Wine_5120_17_SecB'!I17+'2_Bulk_Wine_5120_17_SecA'!I23),2)+0</f>
        <v>0</v>
      </c>
    </row>
    <row r="54" customFormat="false" ht="15" hidden="false" customHeight="false" outlineLevel="0" collapsed="false">
      <c r="A54" s="36" t="s">
        <v>303</v>
      </c>
      <c r="B54" s="17" t="str">
        <f aca="false">IF(ROUND(B53,2)=0,"✓ PASS","✗ FAIL")</f>
        <v>✓ PASS</v>
      </c>
    </row>
    <row r="56" customFormat="false" ht="15" hidden="false" customHeight="true" outlineLevel="0" collapsed="false">
      <c r="A56" s="22" t="s">
        <v>304</v>
      </c>
      <c r="B56" s="22"/>
      <c r="C56" s="22"/>
      <c r="D56" s="22"/>
      <c r="E56" s="22"/>
      <c r="F56" s="22"/>
      <c r="G56" s="22"/>
      <c r="H56" s="22"/>
      <c r="I56" s="22"/>
    </row>
    <row r="57" customFormat="false" ht="15" hidden="false" customHeight="false" outlineLevel="0" collapsed="false">
      <c r="A57" s="58" t="s">
        <v>305</v>
      </c>
      <c r="B57" s="58" t="s">
        <v>306</v>
      </c>
      <c r="C57" s="59" t="s">
        <v>307</v>
      </c>
      <c r="D57" s="59"/>
      <c r="E57" s="59"/>
      <c r="F57" s="59"/>
      <c r="G57" s="59"/>
      <c r="H57" s="59"/>
      <c r="I57" s="59"/>
    </row>
    <row r="58" customFormat="false" ht="15" hidden="false" customHeight="false" outlineLevel="0" collapsed="false">
      <c r="A58" s="6" t="s">
        <v>308</v>
      </c>
      <c r="B58" s="55" t="n">
        <v>0</v>
      </c>
      <c r="C58" s="60" t="s">
        <v>309</v>
      </c>
      <c r="D58" s="60"/>
      <c r="E58" s="60"/>
      <c r="F58" s="60"/>
      <c r="G58" s="60"/>
      <c r="H58" s="60"/>
      <c r="I58" s="60"/>
    </row>
    <row r="59" customFormat="false" ht="15" hidden="false" customHeight="false" outlineLevel="0" collapsed="false">
      <c r="A59" s="6" t="s">
        <v>310</v>
      </c>
      <c r="B59" s="55" t="n">
        <f aca="false">H34</f>
        <v>1552.84</v>
      </c>
      <c r="C59" s="60" t="s">
        <v>311</v>
      </c>
      <c r="D59" s="60"/>
      <c r="E59" s="60"/>
      <c r="F59" s="60"/>
      <c r="G59" s="60"/>
      <c r="H59" s="60"/>
      <c r="I59" s="60"/>
    </row>
    <row r="60" customFormat="false" ht="15" hidden="false" customHeight="false" outlineLevel="0" collapsed="false">
      <c r="A60" s="6" t="s">
        <v>312</v>
      </c>
      <c r="B60" s="55" t="n">
        <v>0</v>
      </c>
      <c r="C60" s="60" t="s">
        <v>309</v>
      </c>
      <c r="D60" s="60"/>
      <c r="E60" s="60"/>
      <c r="F60" s="60"/>
      <c r="G60" s="60"/>
      <c r="H60" s="60"/>
      <c r="I60" s="60"/>
    </row>
    <row r="61" customFormat="false" ht="15" hidden="false" customHeight="false" outlineLevel="0" collapsed="false">
      <c r="A61" s="6" t="s">
        <v>313</v>
      </c>
      <c r="B61" s="55" t="n">
        <v>0</v>
      </c>
      <c r="C61" s="60" t="s">
        <v>309</v>
      </c>
      <c r="D61" s="60"/>
      <c r="E61" s="60"/>
      <c r="F61" s="60"/>
      <c r="G61" s="60"/>
      <c r="H61" s="60"/>
      <c r="I61" s="60"/>
    </row>
    <row r="62" customFormat="false" ht="15" hidden="false" customHeight="false" outlineLevel="0" collapsed="false">
      <c r="A62" s="6" t="s">
        <v>314</v>
      </c>
      <c r="B62" s="55" t="n">
        <v>0</v>
      </c>
      <c r="C62" s="60" t="s">
        <v>309</v>
      </c>
      <c r="D62" s="60"/>
      <c r="E62" s="60"/>
      <c r="F62" s="60"/>
      <c r="G62" s="60"/>
      <c r="H62" s="60"/>
      <c r="I62" s="60"/>
    </row>
    <row r="63" customFormat="false" ht="15" hidden="false" customHeight="false" outlineLevel="0" collapsed="false">
      <c r="A63" s="6" t="s">
        <v>315</v>
      </c>
      <c r="B63" s="55" t="n">
        <v>0</v>
      </c>
      <c r="C63" s="60" t="s">
        <v>309</v>
      </c>
      <c r="D63" s="60"/>
      <c r="E63" s="60"/>
      <c r="F63" s="60"/>
      <c r="G63" s="60"/>
      <c r="H63" s="60"/>
      <c r="I63" s="60"/>
    </row>
    <row r="64" customFormat="false" ht="15" hidden="false" customHeight="false" outlineLevel="0" collapsed="false">
      <c r="A64" s="6" t="s">
        <v>316</v>
      </c>
      <c r="B64" s="55" t="n">
        <v>0</v>
      </c>
      <c r="C64" s="60" t="s">
        <v>309</v>
      </c>
      <c r="D64" s="60"/>
      <c r="E64" s="60"/>
      <c r="F64" s="60"/>
      <c r="G64" s="60"/>
      <c r="H64" s="60"/>
      <c r="I64" s="60"/>
    </row>
    <row r="65" customFormat="false" ht="15" hidden="false" customHeight="false" outlineLevel="0" collapsed="false">
      <c r="A65" s="6" t="s">
        <v>317</v>
      </c>
      <c r="B65" s="55" t="n">
        <v>0</v>
      </c>
      <c r="C65" s="60" t="s">
        <v>309</v>
      </c>
      <c r="D65" s="60"/>
      <c r="E65" s="60"/>
      <c r="F65" s="60"/>
      <c r="G65" s="60"/>
      <c r="H65" s="60"/>
      <c r="I65" s="60"/>
    </row>
    <row r="66" customFormat="false" ht="15" hidden="false" customHeight="false" outlineLevel="0" collapsed="false">
      <c r="A66" s="20" t="s">
        <v>318</v>
      </c>
      <c r="B66" s="53" t="n">
        <f aca="false">SUM(B58:B65)</f>
        <v>1552.84</v>
      </c>
      <c r="C66" s="60" t="s">
        <v>112</v>
      </c>
      <c r="D66" s="60"/>
      <c r="E66" s="60"/>
      <c r="F66" s="60"/>
      <c r="G66" s="60"/>
      <c r="H66" s="60"/>
      <c r="I66" s="60"/>
    </row>
    <row r="67" customFormat="false" ht="15" hidden="false" customHeight="false" outlineLevel="0" collapsed="false">
      <c r="A67" s="6" t="s">
        <v>319</v>
      </c>
      <c r="B67" s="55" t="n">
        <f aca="false">B75</f>
        <v>0</v>
      </c>
      <c r="C67" s="60" t="s">
        <v>112</v>
      </c>
      <c r="D67" s="60"/>
      <c r="E67" s="60"/>
      <c r="F67" s="60"/>
      <c r="G67" s="60"/>
      <c r="H67" s="60"/>
      <c r="I67" s="60"/>
    </row>
    <row r="68" customFormat="false" ht="15" hidden="false" customHeight="false" outlineLevel="0" collapsed="false">
      <c r="A68" s="20" t="s">
        <v>320</v>
      </c>
      <c r="B68" s="53" t="n">
        <f aca="false">B66+B67</f>
        <v>1552.84</v>
      </c>
      <c r="C68" s="60" t="s">
        <v>112</v>
      </c>
      <c r="D68" s="60"/>
      <c r="E68" s="60"/>
      <c r="F68" s="60"/>
      <c r="G68" s="60"/>
      <c r="H68" s="60"/>
      <c r="I68" s="60"/>
    </row>
    <row r="69" customFormat="false" ht="15" hidden="false" customHeight="false" outlineLevel="0" collapsed="false">
      <c r="A69" s="6" t="s">
        <v>321</v>
      </c>
      <c r="B69" s="55" t="n">
        <f aca="false">B82</f>
        <v>1325.48</v>
      </c>
      <c r="C69" s="60" t="s">
        <v>322</v>
      </c>
      <c r="D69" s="60"/>
      <c r="E69" s="60"/>
      <c r="F69" s="60"/>
      <c r="G69" s="60"/>
      <c r="H69" s="60"/>
      <c r="I69" s="60"/>
    </row>
    <row r="70" customFormat="false" ht="15" hidden="false" customHeight="false" outlineLevel="0" collapsed="false">
      <c r="A70" s="61" t="s">
        <v>323</v>
      </c>
      <c r="B70" s="62" t="n">
        <f aca="false">B68-B69</f>
        <v>227.36</v>
      </c>
      <c r="C70" s="60" t="s">
        <v>324</v>
      </c>
      <c r="D70" s="60"/>
      <c r="E70" s="60"/>
      <c r="F70" s="60"/>
      <c r="G70" s="60"/>
      <c r="H70" s="60"/>
      <c r="I70" s="60"/>
    </row>
    <row r="72" customFormat="false" ht="15" hidden="false" customHeight="true" outlineLevel="0" collapsed="false">
      <c r="A72" s="5" t="s">
        <v>325</v>
      </c>
      <c r="B72" s="5"/>
      <c r="C72" s="5"/>
      <c r="D72" s="5"/>
      <c r="E72" s="5"/>
      <c r="F72" s="5"/>
      <c r="G72" s="5"/>
      <c r="H72" s="5"/>
      <c r="I72" s="5"/>
    </row>
    <row r="73" customFormat="false" ht="15" hidden="false" customHeight="false" outlineLevel="0" collapsed="false">
      <c r="A73" s="6" t="s">
        <v>326</v>
      </c>
      <c r="B73" s="55" t="n">
        <f aca="false">B23</f>
        <v>0</v>
      </c>
      <c r="C73" s="60" t="s">
        <v>327</v>
      </c>
      <c r="D73" s="60"/>
      <c r="E73" s="60"/>
      <c r="F73" s="60"/>
      <c r="G73" s="60"/>
      <c r="H73" s="60"/>
      <c r="I73" s="60"/>
    </row>
    <row r="74" customFormat="false" ht="15" hidden="false" customHeight="false" outlineLevel="0" collapsed="false">
      <c r="A74" s="6" t="s">
        <v>328</v>
      </c>
      <c r="B74" s="55" t="n">
        <f aca="false">B73</f>
        <v>0</v>
      </c>
      <c r="C74" s="60" t="s">
        <v>112</v>
      </c>
      <c r="D74" s="60"/>
      <c r="E74" s="60"/>
      <c r="F74" s="60"/>
      <c r="G74" s="60"/>
      <c r="H74" s="60"/>
      <c r="I74" s="60"/>
    </row>
    <row r="75" customFormat="false" ht="15" hidden="false" customHeight="false" outlineLevel="0" collapsed="false">
      <c r="A75" s="20" t="s">
        <v>329</v>
      </c>
      <c r="B75" s="53" t="n">
        <f aca="false">B74</f>
        <v>0</v>
      </c>
      <c r="C75" s="60" t="s">
        <v>112</v>
      </c>
      <c r="D75" s="60"/>
      <c r="E75" s="60"/>
      <c r="F75" s="60"/>
      <c r="G75" s="60"/>
      <c r="H75" s="60"/>
      <c r="I75" s="60"/>
    </row>
    <row r="77" customFormat="false" ht="15" hidden="false" customHeight="true" outlineLevel="0" collapsed="false">
      <c r="A77" s="5" t="s">
        <v>330</v>
      </c>
      <c r="B77" s="5"/>
      <c r="C77" s="5"/>
      <c r="D77" s="5"/>
      <c r="E77" s="5"/>
      <c r="F77" s="5"/>
      <c r="G77" s="5"/>
      <c r="H77" s="5"/>
      <c r="I77" s="5"/>
    </row>
    <row r="78" customFormat="false" ht="15" hidden="false" customHeight="false" outlineLevel="0" collapsed="false">
      <c r="A78" s="6" t="s">
        <v>331</v>
      </c>
      <c r="B78" s="55" t="n">
        <f aca="false">SUMPRODUCT(B42:G42)</f>
        <v>1325.48</v>
      </c>
      <c r="C78" s="63" t="str">
        <f aca="false">"CBMA credit, 26 U.S.C. 5041(c), Tier 1: "&amp;TEXT((H36-G36),"#,##0.00")&amp;" wine gal @ $"&amp;TEXT(B9,"0.000")&amp;IF(G36&gt;0,"; "&amp;TEXT(G36,"#,##0.00")&amp;" hard cider gal @ $"&amp;TEXT(G9,"0.000"),"")</f>
        <v>CBMA credit, 26 U.S.C. 5041(c), Tier 1: 1,325.48 wine gal @ $1.000</v>
      </c>
      <c r="D78" s="63"/>
      <c r="E78" s="63"/>
      <c r="F78" s="63"/>
      <c r="G78" s="63"/>
      <c r="H78" s="63"/>
      <c r="I78" s="63"/>
    </row>
    <row r="79" customFormat="false" ht="15" hidden="false" customHeight="false" outlineLevel="0" collapsed="false">
      <c r="A79" s="6" t="s">
        <v>332</v>
      </c>
      <c r="B79" s="55" t="n">
        <f aca="false">H43</f>
        <v>0</v>
      </c>
      <c r="C79" s="63" t="str">
        <f aca="false">"CBMA credit, 26 U.S.C. 5041(c), Tier 2: "&amp;TEXT((H38-G38),"#,##0.00")&amp;" wine gal @ $"&amp;TEXT(B10,"0.000")&amp;IF(G38&gt;0,"; "&amp;TEXT(G38,"#,##0.00")&amp;" hard cider gal @ $"&amp;TEXT(G10,"0.000"),"")</f>
        <v>CBMA credit, 26 U.S.C. 5041(c), Tier 2: 0.00 wine gal @ $0.900</v>
      </c>
      <c r="D79" s="63"/>
      <c r="E79" s="63"/>
      <c r="F79" s="63"/>
      <c r="G79" s="63"/>
      <c r="H79" s="63"/>
      <c r="I79" s="63"/>
    </row>
    <row r="80" customFormat="false" ht="15" hidden="false" customHeight="false" outlineLevel="0" collapsed="false">
      <c r="A80" s="6" t="s">
        <v>333</v>
      </c>
      <c r="B80" s="55" t="n">
        <f aca="false">H44+B24</f>
        <v>0</v>
      </c>
      <c r="C80" s="63" t="str">
        <f aca="false">"CBMA credit, 26 U.S.C. 5041(c), Tier 3: "&amp;TEXT((H40-G40),"#,##0.00")&amp;" wine gal @ $"&amp;TEXT(B11,"0.000")&amp;IF(G40&gt;0,"; "&amp;TEXT(G40,"#,##0.00")&amp;" hard cider gal @ $"&amp;TEXT(G11,"0.000"),"")&amp;IF(B24&lt;&gt;0,"; other: "&amp;B25,"")</f>
        <v>CBMA credit, 26 U.S.C. 5041(c), Tier 3: 0.00 wine gal @ $0.535</v>
      </c>
      <c r="D80" s="63"/>
      <c r="E80" s="63"/>
      <c r="F80" s="63"/>
      <c r="G80" s="63"/>
      <c r="H80" s="63"/>
      <c r="I80" s="63"/>
    </row>
    <row r="81" customFormat="false" ht="15" hidden="false" customHeight="false" outlineLevel="0" collapsed="false">
      <c r="A81" s="6" t="s">
        <v>334</v>
      </c>
      <c r="B81" s="55" t="n">
        <f aca="false">SUM(B78:B80)</f>
        <v>1325.48</v>
      </c>
      <c r="C81" s="60" t="s">
        <v>112</v>
      </c>
      <c r="D81" s="60"/>
      <c r="E81" s="60"/>
      <c r="F81" s="60"/>
      <c r="G81" s="60"/>
      <c r="H81" s="60"/>
      <c r="I81" s="60"/>
    </row>
    <row r="82" customFormat="false" ht="15" hidden="false" customHeight="false" outlineLevel="0" collapsed="false">
      <c r="A82" s="20" t="s">
        <v>335</v>
      </c>
      <c r="B82" s="53" t="n">
        <f aca="false">B81</f>
        <v>1325.48</v>
      </c>
      <c r="C82" s="60" t="s">
        <v>112</v>
      </c>
      <c r="D82" s="60"/>
      <c r="E82" s="60"/>
      <c r="F82" s="60"/>
      <c r="G82" s="60"/>
      <c r="H82" s="60"/>
      <c r="I82" s="60"/>
    </row>
    <row r="84" customFormat="false" ht="15" hidden="false" customHeight="true" outlineLevel="0" collapsed="false">
      <c r="A84" s="5" t="s">
        <v>37</v>
      </c>
      <c r="B84" s="5"/>
      <c r="C84" s="5"/>
      <c r="D84" s="5"/>
      <c r="E84" s="5"/>
      <c r="F84" s="5"/>
      <c r="G84" s="5"/>
      <c r="H84" s="5"/>
      <c r="I84" s="5"/>
    </row>
    <row r="85" customFormat="false" ht="30" hidden="false" customHeight="true" outlineLevel="0" collapsed="false">
      <c r="A85" s="64" t="s">
        <v>336</v>
      </c>
      <c r="B85" s="64"/>
      <c r="C85" s="64"/>
      <c r="D85" s="64"/>
      <c r="E85" s="64"/>
      <c r="F85" s="64"/>
      <c r="G85" s="64"/>
      <c r="H85" s="64"/>
      <c r="I85" s="64"/>
    </row>
    <row r="86" customFormat="false" ht="30" hidden="false" customHeight="true" outlineLevel="0" collapsed="false">
      <c r="A86" s="64" t="s">
        <v>337</v>
      </c>
      <c r="B86" s="64"/>
      <c r="C86" s="64"/>
      <c r="D86" s="64"/>
      <c r="E86" s="64"/>
      <c r="F86" s="64"/>
      <c r="G86" s="64"/>
      <c r="H86" s="64"/>
      <c r="I86" s="64"/>
    </row>
    <row r="87" customFormat="false" ht="30" hidden="false" customHeight="true" outlineLevel="0" collapsed="false">
      <c r="A87" s="64" t="s">
        <v>338</v>
      </c>
      <c r="B87" s="64"/>
      <c r="C87" s="64"/>
      <c r="D87" s="64"/>
      <c r="E87" s="64"/>
      <c r="F87" s="64"/>
      <c r="G87" s="64"/>
      <c r="H87" s="64"/>
      <c r="I87" s="64"/>
    </row>
    <row r="88" customFormat="false" ht="30" hidden="false" customHeight="true" outlineLevel="0" collapsed="false">
      <c r="A88" s="64" t="s">
        <v>339</v>
      </c>
      <c r="B88" s="64"/>
      <c r="C88" s="64"/>
      <c r="D88" s="64"/>
      <c r="E88" s="64"/>
      <c r="F88" s="64"/>
      <c r="G88" s="64"/>
      <c r="H88" s="64"/>
      <c r="I88" s="64"/>
    </row>
  </sheetData>
  <mergeCells count="40">
    <mergeCell ref="A1:I1"/>
    <mergeCell ref="A2:I2"/>
    <mergeCell ref="A3:I3"/>
    <mergeCell ref="A4:I4"/>
    <mergeCell ref="A6:I6"/>
    <mergeCell ref="A17:I17"/>
    <mergeCell ref="B25:H25"/>
    <mergeCell ref="A27:I27"/>
    <mergeCell ref="A49:I49"/>
    <mergeCell ref="B52:H52"/>
    <mergeCell ref="A56:I56"/>
    <mergeCell ref="C57:I57"/>
    <mergeCell ref="C58:I58"/>
    <mergeCell ref="C59:I59"/>
    <mergeCell ref="C60:I60"/>
    <mergeCell ref="C61:I61"/>
    <mergeCell ref="C62:I62"/>
    <mergeCell ref="C63:I63"/>
    <mergeCell ref="C64:I64"/>
    <mergeCell ref="C65:I65"/>
    <mergeCell ref="C66:I66"/>
    <mergeCell ref="C67:I67"/>
    <mergeCell ref="C68:I68"/>
    <mergeCell ref="C69:I69"/>
    <mergeCell ref="C70:I70"/>
    <mergeCell ref="A72:I72"/>
    <mergeCell ref="C73:I73"/>
    <mergeCell ref="C74:I74"/>
    <mergeCell ref="C75:I75"/>
    <mergeCell ref="A77:I77"/>
    <mergeCell ref="C78:I78"/>
    <mergeCell ref="C79:I79"/>
    <mergeCell ref="C80:I80"/>
    <mergeCell ref="C81:I81"/>
    <mergeCell ref="C82:I82"/>
    <mergeCell ref="A84:I84"/>
    <mergeCell ref="A85:I85"/>
    <mergeCell ref="A86:I86"/>
    <mergeCell ref="A87:I87"/>
    <mergeCell ref="A88:I88"/>
  </mergeCells>
  <conditionalFormatting sqref="B54">
    <cfRule type="expression" priority="2" aboveAverage="0" equalAverage="0" bottom="0" percent="0" rank="0" text="" dxfId="1">
      <formula>ISNUMBER(SEARCH("PASS",B54))</formula>
    </cfRule>
    <cfRule type="expression" priority="3" aboveAverage="0" equalAverage="0" bottom="0" percent="0" rank="0" text="" dxfId="2">
      <formula>OR(ISNUMBER(SEARCH("FAIL",B54)),ISNUMBER(SEARCH("NOT READY",B54)),ISNUMBER(SEARCH("OPEN",B54)))</formula>
    </cfRule>
    <cfRule type="expression" priority="4" aboveAverage="0" equalAverage="0" bottom="0" percent="0" rank="0" text="" dxfId="1">
      <formula>ISNUMBER(SEARCH("READY TO SEND",B54))</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2026-10-23T19:17:40Z</dcterms:created>
  <dc:creator>openpyxl</dc:creator>
  <dc:description/>
  <dc:language>en-US</dc:language>
  <cp:lastModifiedBy/>
  <dcterms:modified xsi:type="dcterms:W3CDTF">2026-10-23T19:17:40Z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